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flyingoffice/Downloads/"/>
    </mc:Choice>
  </mc:AlternateContent>
  <bookViews>
    <workbookView xWindow="80" yWindow="460" windowWidth="25520" windowHeight="15540"/>
  </bookViews>
  <sheets>
    <sheet name="Auto" sheetId="4" r:id="rId1"/>
  </sheets>
  <definedNames>
    <definedName name="auta">COLUMN(Auto!XEZ1048475:B1048475)-5 &amp;". "&amp;(Auto!XEZ1048475:B1048475) &amp; " (" &amp;(Auto!XEZ1048476:B1048476)&amp;"/"&amp;(Auto!XEZ1048477:B1048477) &amp;")"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4" l="1"/>
  <c r="F17" i="4"/>
  <c r="G34" i="4"/>
  <c r="I94" i="4"/>
  <c r="I93" i="4"/>
  <c r="I89" i="4"/>
  <c r="I88" i="4"/>
  <c r="I77" i="4"/>
  <c r="I62" i="4"/>
  <c r="I51" i="4"/>
  <c r="I50" i="4"/>
  <c r="I45" i="4"/>
  <c r="I10" i="4"/>
  <c r="I34" i="4"/>
  <c r="I17" i="4"/>
  <c r="I16" i="4"/>
  <c r="K77" i="4"/>
  <c r="K62" i="4"/>
  <c r="K51" i="4"/>
  <c r="K50" i="4"/>
  <c r="K45" i="4"/>
  <c r="K10" i="4"/>
  <c r="K34" i="4"/>
  <c r="K17" i="4"/>
  <c r="H77" i="4"/>
  <c r="H62" i="4"/>
  <c r="H51" i="4"/>
  <c r="H50" i="4"/>
  <c r="H45" i="4"/>
  <c r="H10" i="4"/>
  <c r="H43" i="4"/>
  <c r="H34" i="4"/>
  <c r="H17" i="4"/>
  <c r="J94" i="4"/>
  <c r="J93" i="4"/>
  <c r="J89" i="4"/>
  <c r="J88" i="4"/>
  <c r="J77" i="4"/>
  <c r="J62" i="4"/>
  <c r="J51" i="4"/>
  <c r="J50" i="4"/>
  <c r="J45" i="4"/>
  <c r="J34" i="4"/>
  <c r="J17" i="4"/>
  <c r="F77" i="4"/>
  <c r="I95" i="4"/>
  <c r="I14" i="4"/>
  <c r="I15" i="4"/>
  <c r="I96" i="4"/>
  <c r="I13" i="4"/>
  <c r="I11" i="4"/>
  <c r="I12" i="4"/>
  <c r="J16" i="4"/>
  <c r="J95" i="4"/>
  <c r="J10" i="4"/>
  <c r="K16" i="4"/>
  <c r="H16" i="4"/>
  <c r="L99" i="4"/>
  <c r="K99" i="4"/>
  <c r="J99" i="4"/>
  <c r="I99" i="4"/>
  <c r="H99" i="4"/>
  <c r="G99" i="4"/>
  <c r="F99" i="4"/>
  <c r="J13" i="4"/>
  <c r="J11" i="4"/>
  <c r="J12" i="4"/>
  <c r="J14" i="4"/>
  <c r="J15" i="4"/>
  <c r="J96" i="4"/>
  <c r="K14" i="4"/>
  <c r="K15" i="4"/>
  <c r="H14" i="4"/>
  <c r="H15" i="4"/>
  <c r="H128" i="4"/>
  <c r="H117" i="4"/>
  <c r="H126" i="4"/>
  <c r="H125" i="4"/>
  <c r="F126" i="4"/>
  <c r="F125" i="4"/>
  <c r="F124" i="4"/>
  <c r="H121" i="4"/>
  <c r="F117" i="4"/>
  <c r="F121" i="4"/>
  <c r="F128" i="4"/>
  <c r="H108" i="4" a="1"/>
  <c r="H108" i="4"/>
  <c r="H107" i="4" a="1"/>
  <c r="H107" i="4"/>
  <c r="F108" i="4" a="1"/>
  <c r="F108" i="4"/>
  <c r="L88" i="4"/>
  <c r="K88" i="4"/>
  <c r="H88" i="4"/>
  <c r="G88" i="4"/>
  <c r="F88" i="4"/>
  <c r="F45" i="4"/>
  <c r="G45" i="4"/>
  <c r="L45" i="4"/>
  <c r="H127" i="4"/>
  <c r="F127" i="4"/>
  <c r="L94" i="4"/>
  <c r="K94" i="4"/>
  <c r="H94" i="4"/>
  <c r="G94" i="4"/>
  <c r="L93" i="4"/>
  <c r="K93" i="4"/>
  <c r="H93" i="4"/>
  <c r="G93" i="4"/>
  <c r="F93" i="4"/>
  <c r="F94" i="4"/>
  <c r="H89" i="4"/>
  <c r="H13" i="4"/>
  <c r="H11" i="4"/>
  <c r="H12" i="4"/>
  <c r="L62" i="4"/>
  <c r="G62" i="4"/>
  <c r="F62" i="4"/>
  <c r="L10" i="4"/>
  <c r="G10" i="4"/>
  <c r="F10" i="4"/>
  <c r="G51" i="4"/>
  <c r="G77" i="4"/>
  <c r="F120" i="4"/>
  <c r="G89" i="4"/>
  <c r="L51" i="4"/>
  <c r="F51" i="4"/>
  <c r="H124" i="4"/>
  <c r="H120" i="4"/>
  <c r="F50" i="4"/>
  <c r="G50" i="4"/>
  <c r="H95" i="4"/>
  <c r="L50" i="4"/>
  <c r="H96" i="4"/>
  <c r="E18" i="4"/>
  <c r="I18" i="4"/>
  <c r="J18" i="4"/>
  <c r="H18" i="4"/>
  <c r="K18" i="4"/>
  <c r="F18" i="4"/>
  <c r="L18" i="4"/>
  <c r="G18" i="4"/>
  <c r="E19" i="4"/>
  <c r="I19" i="4"/>
  <c r="J19" i="4"/>
  <c r="K19" i="4"/>
  <c r="H19" i="4"/>
  <c r="G19" i="4"/>
  <c r="F19" i="4"/>
  <c r="L19" i="4"/>
  <c r="E20" i="4"/>
  <c r="I20" i="4"/>
  <c r="K89" i="4"/>
  <c r="K13" i="4"/>
  <c r="K11" i="4"/>
  <c r="K12" i="4"/>
  <c r="K20" i="4"/>
  <c r="J20" i="4"/>
  <c r="H20" i="4"/>
  <c r="F20" i="4"/>
  <c r="G20" i="4"/>
  <c r="E21" i="4"/>
  <c r="I21" i="4"/>
  <c r="L89" i="4"/>
  <c r="F89" i="4"/>
  <c r="K21" i="4"/>
  <c r="H21" i="4"/>
  <c r="J21" i="4"/>
  <c r="K95" i="4"/>
  <c r="K96" i="4"/>
  <c r="L21" i="4"/>
  <c r="F21" i="4"/>
  <c r="G21" i="4"/>
  <c r="E22" i="4"/>
  <c r="I22" i="4"/>
  <c r="L77" i="4"/>
  <c r="L20" i="4"/>
  <c r="L34" i="4"/>
  <c r="H22" i="4"/>
  <c r="J22" i="4"/>
  <c r="K22" i="4"/>
  <c r="F118" i="4"/>
  <c r="F122" i="4"/>
  <c r="G16" i="4"/>
  <c r="G14" i="4"/>
  <c r="G15" i="4"/>
  <c r="G96" i="4"/>
  <c r="H122" i="4"/>
  <c r="H118" i="4"/>
  <c r="F16" i="4"/>
  <c r="L17" i="4"/>
  <c r="L16" i="4"/>
  <c r="G17" i="4"/>
  <c r="G22" i="4"/>
  <c r="L22" i="4"/>
  <c r="F22" i="4"/>
  <c r="E23" i="4"/>
  <c r="I23" i="4"/>
  <c r="G95" i="4"/>
  <c r="H23" i="4"/>
  <c r="K23" i="4"/>
  <c r="J23" i="4"/>
  <c r="G13" i="4"/>
  <c r="G11" i="4"/>
  <c r="G12" i="4"/>
  <c r="F123" i="4"/>
  <c r="F119" i="4"/>
  <c r="G120" i="4"/>
  <c r="H119" i="4"/>
  <c r="H123" i="4"/>
  <c r="F95" i="4"/>
  <c r="L95" i="4"/>
  <c r="L13" i="4"/>
  <c r="L14" i="4"/>
  <c r="L15" i="4"/>
  <c r="L96" i="4"/>
  <c r="F14" i="4"/>
  <c r="F13" i="4"/>
  <c r="F23" i="4"/>
  <c r="L23" i="4"/>
  <c r="G23" i="4"/>
  <c r="E24" i="4"/>
  <c r="I24" i="4"/>
  <c r="K24" i="4"/>
  <c r="J24" i="4"/>
  <c r="H24" i="4"/>
  <c r="I120" i="4"/>
  <c r="I124" i="4"/>
  <c r="I128" i="4"/>
  <c r="I119" i="4"/>
  <c r="I123" i="4"/>
  <c r="I127" i="4"/>
  <c r="G124" i="4"/>
  <c r="G119" i="4"/>
  <c r="G123" i="4"/>
  <c r="G127" i="4"/>
  <c r="H109" i="4"/>
  <c r="F109" i="4"/>
  <c r="F11" i="4"/>
  <c r="L11" i="4"/>
  <c r="F15" i="4"/>
  <c r="F96" i="4"/>
  <c r="L24" i="4"/>
  <c r="G24" i="4"/>
  <c r="F24" i="4"/>
  <c r="E25" i="4"/>
  <c r="I25" i="4"/>
  <c r="K25" i="4"/>
  <c r="J25" i="4"/>
  <c r="H25" i="4"/>
  <c r="G128" i="4"/>
  <c r="I125" i="4"/>
  <c r="I121" i="4"/>
  <c r="H111" i="4"/>
  <c r="H110" i="4"/>
  <c r="F110" i="4"/>
  <c r="F12" i="4"/>
  <c r="L12" i="4"/>
  <c r="F25" i="4"/>
  <c r="L25" i="4"/>
  <c r="G25" i="4"/>
  <c r="E26" i="4"/>
  <c r="I26" i="4"/>
  <c r="I129" i="4"/>
  <c r="J26" i="4"/>
  <c r="H26" i="4"/>
  <c r="K26" i="4"/>
  <c r="G26" i="4"/>
  <c r="L26" i="4"/>
  <c r="F26" i="4"/>
  <c r="E27" i="4"/>
  <c r="I27" i="4"/>
  <c r="H27" i="4"/>
  <c r="J27" i="4"/>
  <c r="K27" i="4"/>
  <c r="G27" i="4"/>
  <c r="F27" i="4"/>
  <c r="L27" i="4"/>
  <c r="E28" i="4"/>
  <c r="I28" i="4"/>
  <c r="K28" i="4"/>
  <c r="J28" i="4"/>
  <c r="H28" i="4"/>
  <c r="F28" i="4"/>
  <c r="G28" i="4"/>
  <c r="L28" i="4"/>
  <c r="E29" i="4"/>
  <c r="I29" i="4"/>
  <c r="K29" i="4"/>
  <c r="H29" i="4"/>
  <c r="J29" i="4"/>
  <c r="F29" i="4"/>
  <c r="G29" i="4"/>
  <c r="L29" i="4"/>
  <c r="E30" i="4"/>
  <c r="I30" i="4"/>
  <c r="J30" i="4"/>
  <c r="H30" i="4"/>
  <c r="K30" i="4"/>
  <c r="G30" i="4"/>
  <c r="L30" i="4"/>
  <c r="F30" i="4"/>
  <c r="E31" i="4"/>
  <c r="I31" i="4"/>
  <c r="K31" i="4"/>
  <c r="H31" i="4"/>
  <c r="J31" i="4"/>
  <c r="L31" i="4"/>
  <c r="G31" i="4"/>
  <c r="F31" i="4"/>
  <c r="E32" i="4"/>
  <c r="I32" i="4"/>
  <c r="K32" i="4"/>
  <c r="J32" i="4"/>
  <c r="H32" i="4"/>
  <c r="L32" i="4"/>
  <c r="F32" i="4"/>
  <c r="G32" i="4"/>
  <c r="F107" i="4" a="1"/>
  <c r="F107" i="4"/>
  <c r="H112" i="4"/>
  <c r="H113" i="4"/>
  <c r="F112" i="4"/>
  <c r="F113" i="4"/>
  <c r="I114" i="4"/>
  <c r="F111" i="4"/>
</calcChain>
</file>

<file path=xl/comments1.xml><?xml version="1.0" encoding="utf-8"?>
<comments xmlns="http://schemas.openxmlformats.org/spreadsheetml/2006/main">
  <authors>
    <author>Użytkownik Microsoft Office</author>
  </authors>
  <commentList>
    <comment ref="E7" authorId="0">
      <text>
        <r>
          <rPr>
            <b/>
            <sz val="10"/>
            <color indexed="81"/>
            <rFont val="Calibri"/>
          </rPr>
          <t>Określ jak intensywnie i jak długo będziesz wykorzystywał swój samochód.</t>
        </r>
      </text>
    </comment>
    <comment ref="B8" authorId="0">
      <text>
        <r>
          <rPr>
            <b/>
            <sz val="10"/>
            <color indexed="81"/>
            <rFont val="Calibri"/>
          </rPr>
          <t>Wpisz jak oprocentowane są pieniądze odkładane na nowe auto?</t>
        </r>
      </text>
    </comment>
    <comment ref="E34" authorId="0">
      <text>
        <r>
          <rPr>
            <b/>
            <sz val="10"/>
            <color indexed="81"/>
            <rFont val="Calibri"/>
          </rPr>
          <t>Oszacuj koszty związane z zakupem, finansowaniem i eksploatacją auta.</t>
        </r>
      </text>
    </comment>
    <comment ref="F103" authorId="0">
      <text>
        <r>
          <rPr>
            <b/>
            <sz val="10"/>
            <color indexed="81"/>
            <rFont val="Calibri"/>
          </rPr>
          <t>Możesz porównywać koszty użytkowania samochodów, które opisałeś w tabeli powyżej. 
Co więcej, możesz łączyć do trzech pojazdów w jedną symulację. 
Jedyne co musisz zrobić, to wybrać samochody z rozwijanych list.</t>
        </r>
      </text>
    </comment>
  </commentList>
</comments>
</file>

<file path=xl/sharedStrings.xml><?xml version="1.0" encoding="utf-8"?>
<sst xmlns="http://schemas.openxmlformats.org/spreadsheetml/2006/main" count="173" uniqueCount="107">
  <si>
    <t>PB</t>
  </si>
  <si>
    <t>ON</t>
  </si>
  <si>
    <t>LPG</t>
  </si>
  <si>
    <t>liczba rat:</t>
  </si>
  <si>
    <t xml:space="preserve">  - Finansowanie: zakup za gotówkę</t>
  </si>
  <si>
    <t xml:space="preserve">  - Finansowanie: rata inicjacyjna</t>
  </si>
  <si>
    <t xml:space="preserve">  - Finansowanie: opłaty i prowizje</t>
  </si>
  <si>
    <t xml:space="preserve">  - Serwis pozakupowy / remont</t>
  </si>
  <si>
    <t xml:space="preserve">  - Podatek PCC (0 lub 2%)</t>
  </si>
  <si>
    <t xml:space="preserve">  - Poszukiwanie / sprawdzenie auta</t>
  </si>
  <si>
    <t xml:space="preserve">  - Rejestracja</t>
  </si>
  <si>
    <t xml:space="preserve">  - inne…</t>
  </si>
  <si>
    <t xml:space="preserve">  - Paliwo</t>
  </si>
  <si>
    <t xml:space="preserve">  - zużycie PB   L/100km</t>
  </si>
  <si>
    <t xml:space="preserve">  - zużycie ON   L/100km</t>
  </si>
  <si>
    <t xml:space="preserve">  - zużycie LGP   L/100km</t>
  </si>
  <si>
    <t xml:space="preserve">  - OC</t>
  </si>
  <si>
    <t xml:space="preserve">  - AC</t>
  </si>
  <si>
    <t xml:space="preserve">  - Assistance / NNW</t>
  </si>
  <si>
    <t xml:space="preserve">  - GAP</t>
  </si>
  <si>
    <t xml:space="preserve">  - Przeglądy rejestracyjne</t>
  </si>
  <si>
    <t xml:space="preserve">  - Opony</t>
  </si>
  <si>
    <t xml:space="preserve">  - Wymiana / składowanie opon</t>
  </si>
  <si>
    <t xml:space="preserve">  - Serwis mechaniczny</t>
  </si>
  <si>
    <t xml:space="preserve">  - Naprawy blacharskie</t>
  </si>
  <si>
    <t xml:space="preserve">  - Koszty sprzedaży</t>
  </si>
  <si>
    <t xml:space="preserve">  - Koszt czasu (opcjonalnie)</t>
  </si>
  <si>
    <t xml:space="preserve">  - Okres użytkowania [mc]</t>
  </si>
  <si>
    <t xml:space="preserve">  - Planowany przebieg [km]</t>
  </si>
  <si>
    <t xml:space="preserve">  - Wartość końcowa auta</t>
  </si>
  <si>
    <t>% netto</t>
  </si>
  <si>
    <t xml:space="preserve">  - Finansowanie: opłaty dodatkowe</t>
  </si>
  <si>
    <t xml:space="preserve">  - Wycieraczki, płyn do spryskiwaczy</t>
  </si>
  <si>
    <t xml:space="preserve">  - Myjnia, kosmetyka</t>
  </si>
  <si>
    <t xml:space="preserve">  - Opłaty parkingowe, drogi płatne</t>
  </si>
  <si>
    <t xml:space="preserve">  - Miejsce postojowe, garaż</t>
  </si>
  <si>
    <t xml:space="preserve">  - Mandaty :)</t>
  </si>
  <si>
    <t>Peugeot 301 (2015)
1.6 LPG</t>
  </si>
  <si>
    <t>Ford Mustang (2018)
5.0 V8 PB</t>
  </si>
  <si>
    <t xml:space="preserve">  - Finansowanie: rata</t>
  </si>
  <si>
    <t xml:space="preserve"> &lt;- uzupełnij dane</t>
  </si>
  <si>
    <t>Opel Corsa E (2018)
1.4 LPG</t>
  </si>
  <si>
    <t xml:space="preserve">  - Zmiana wartości auta w czasie</t>
  </si>
  <si>
    <t>1. W jakich sytuacjach opłaca się sprzedać stare auto, aby odnieść korzyść?</t>
  </si>
  <si>
    <t xml:space="preserve"> &gt;&gt;&gt; gdy wartość sprzedaży staje się wkładem własnym</t>
  </si>
  <si>
    <t>&gt;&gt;&gt; zakup auta na firmę</t>
  </si>
  <si>
    <t xml:space="preserve">  - średniomiesięczne</t>
  </si>
  <si>
    <t>własne</t>
  </si>
  <si>
    <t>zakup</t>
  </si>
  <si>
    <t>najem</t>
  </si>
  <si>
    <t xml:space="preserve"> Koszty początkowe</t>
  </si>
  <si>
    <t xml:space="preserve"> Koszty comiesięczne - finansowanie</t>
  </si>
  <si>
    <t xml:space="preserve"> Koszty roczne</t>
  </si>
  <si>
    <t xml:space="preserve"> Koszty końcowe</t>
  </si>
  <si>
    <t>zwiń / rozwiń</t>
  </si>
  <si>
    <t>Użytkowanie auta</t>
  </si>
  <si>
    <t>Utrata wartości</t>
  </si>
  <si>
    <t xml:space="preserve">  - Wartość początkowa auta (jeśli jest Twoje)</t>
  </si>
  <si>
    <t xml:space="preserve">  - wartość końcowa auta + odłożone środki</t>
  </si>
  <si>
    <t>Auto Fund = Budżet na zmianę auta</t>
  </si>
  <si>
    <t>Średniosmiesięcznie użytkowanie + Auto Fund</t>
  </si>
  <si>
    <t>Suma kosztów ( - cashflow )</t>
  </si>
  <si>
    <t>Całkowite koszty użytkowania ( - net value )</t>
  </si>
  <si>
    <t>Suma kosztów + Auto Fund ( - cashflow )</t>
  </si>
  <si>
    <t xml:space="preserve">  - Koszt przejechania 1 km ( - cashflow )</t>
  </si>
  <si>
    <t xml:space="preserve">  - Koszty średniomiesięczne ( - cashflow )</t>
  </si>
  <si>
    <t xml:space="preserve">  - Finansowanie: wykup auta</t>
  </si>
  <si>
    <t xml:space="preserve">  - Auto Fund - odłożę na zmianę auta</t>
  </si>
  <si>
    <t xml:space="preserve">  - Wartość początkowa auta (jeśli je kupisz)</t>
  </si>
  <si>
    <t xml:space="preserve">  - Wpływ na wartość netto</t>
  </si>
  <si>
    <t>Koszt przejechania 1 km ( - net value )</t>
  </si>
  <si>
    <t>Koszty średniomiesięczne ( - net value )</t>
  </si>
  <si>
    <t>Koszty finansowania (całkowite)</t>
  </si>
  <si>
    <t>samochód 1</t>
  </si>
  <si>
    <t>samochód 2</t>
  </si>
  <si>
    <t>samochód 3</t>
  </si>
  <si>
    <t>zwiń / rozwiń wszystko</t>
  </si>
  <si>
    <t xml:space="preserve">  - Koszt przejechania 1 km ( - net value )</t>
  </si>
  <si>
    <t xml:space="preserve">  - Koszty średniomiesięczne ( - net value )</t>
  </si>
  <si>
    <t>Stopa zwrotu</t>
  </si>
  <si>
    <t>Ceny paliw</t>
  </si>
  <si>
    <t>2. Peugeot 301 (2015)
1.6 LPG (48/120000)</t>
  </si>
  <si>
    <t>samochód 1 start</t>
  </si>
  <si>
    <t>samochód 1 miesięcznie</t>
  </si>
  <si>
    <t>samochód 1 koniec</t>
  </si>
  <si>
    <t>samochód 2 start</t>
  </si>
  <si>
    <t>samochód 2 miesięcznie</t>
  </si>
  <si>
    <t>samochód 2 koniec</t>
  </si>
  <si>
    <t>samochód 3 start</t>
  </si>
  <si>
    <t>samochód 3 miesięcznie</t>
  </si>
  <si>
    <t>samochód 3 koniec</t>
  </si>
  <si>
    <t>Audi A4 B6 (2001)
2.0 LPG</t>
  </si>
  <si>
    <t>samochód 1 okres [mc]</t>
  </si>
  <si>
    <t>samochód 2 okres [mc]</t>
  </si>
  <si>
    <t>samochód 3 okres [mc]</t>
  </si>
  <si>
    <t>Koszty z uwzględnieniem odsetek ( - net value )</t>
  </si>
  <si>
    <t>Symulacja bazowy</t>
  </si>
  <si>
    <t>Symulacja alternatywna</t>
  </si>
  <si>
    <t xml:space="preserve"> - korekta: odsetki od różnic w kosztach</t>
  </si>
  <si>
    <t>Uproszczona symulacja porównawcza kosztów użytkowania kilku aut
- pamiętaj  aby łączne przebiegi i okres użytkowania były sobie równe</t>
  </si>
  <si>
    <t xml:space="preserve"> Koszty comiesięczne - eksploatacja</t>
  </si>
  <si>
    <r>
      <t xml:space="preserve">Dowiedz się więcej na blogu </t>
    </r>
    <r>
      <rPr>
        <b/>
        <sz val="11"/>
        <color theme="1"/>
        <rFont val="Calibri"/>
        <family val="2"/>
        <charset val="238"/>
        <scheme val="minor"/>
      </rPr>
      <t>FINANSE BARDZO OSOBISTE</t>
    </r>
  </si>
  <si>
    <t>https://marciniwuc.com/ile-kosztuje-posiadanie-auta</t>
  </si>
  <si>
    <t>kontakt</t>
  </si>
  <si>
    <t>Autor: Marcin Kluczek</t>
  </si>
  <si>
    <t>Plik udostępniam całkowicie  nieodpłatnie do użytku prytwatnego</t>
  </si>
  <si>
    <t>1. Audi A4 B6 (2001)
2.0 LPG (48/120000)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</si>
</sst>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\ &quot;zł&quot;;[Red]\-#,##0\ &quot;zł&quot;"/>
    <numFmt numFmtId="165" formatCode="#,##0.00\ &quot;zł&quot;;[Red]\-#,##0.00\ &quot;zł&quot;"/>
    <numFmt numFmtId="166" formatCode="_-* #,##0.00\ &quot;zł&quot;_-;\-* #,##0.00\ &quot;zł&quot;_-;_-* &quot;-&quot;??\ &quot;zł&quot;_-;_-@_-"/>
    <numFmt numFmtId="167" formatCode="_-* #,##0\ [$zł-415]_-;\-* #,##0\ [$zł-415]_-;_-* &quot;-&quot;??\ [$zł-415]_-;_-@_-"/>
    <numFmt numFmtId="168" formatCode="[$L.-480A]\ #,##0.0"/>
    <numFmt numFmtId="169" formatCode="_-* #,##0.00\ [$zł-415]_-;\-* #,##0.00\ [$zł-415]_-;_-* &quot;-&quot;??\ [$zł-415]_-;_-@_-"/>
    <numFmt numFmtId="170" formatCode="#,##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1"/>
      <name val="Calibri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theme="4"/>
      </patternFill>
    </fill>
    <fill>
      <patternFill patternType="solid">
        <fgColor theme="8" tint="-0.249977111117893"/>
        <bgColor theme="5"/>
      </patternFill>
    </fill>
    <fill>
      <patternFill patternType="solid">
        <fgColor rgb="FFFFFFCC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theme="5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8" fontId="3" fillId="0" borderId="0"/>
    <xf numFmtId="0" fontId="4" fillId="0" borderId="0"/>
    <xf numFmtId="168" fontId="5" fillId="0" borderId="0"/>
    <xf numFmtId="168" fontId="2" fillId="2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160">
    <xf numFmtId="0" fontId="0" fillId="0" borderId="0" xfId="0"/>
    <xf numFmtId="167" fontId="0" fillId="0" borderId="2" xfId="0" applyNumberFormat="1" applyBorder="1"/>
    <xf numFmtId="167" fontId="0" fillId="0" borderId="2" xfId="1" applyNumberFormat="1" applyFont="1" applyBorder="1"/>
    <xf numFmtId="167" fontId="0" fillId="4" borderId="2" xfId="0" applyNumberFormat="1" applyFill="1" applyBorder="1"/>
    <xf numFmtId="0" fontId="0" fillId="0" borderId="2" xfId="0" applyNumberFormat="1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3" borderId="2" xfId="0" applyNumberFormat="1" applyFill="1" applyBorder="1"/>
    <xf numFmtId="0" fontId="0" fillId="5" borderId="0" xfId="0" applyFill="1" applyBorder="1"/>
    <xf numFmtId="166" fontId="0" fillId="0" borderId="2" xfId="1" applyFont="1" applyBorder="1"/>
    <xf numFmtId="0" fontId="0" fillId="4" borderId="12" xfId="0" quotePrefix="1" applyFill="1" applyBorder="1"/>
    <xf numFmtId="167" fontId="0" fillId="4" borderId="13" xfId="0" applyNumberFormat="1" applyFill="1" applyBorder="1"/>
    <xf numFmtId="167" fontId="0" fillId="0" borderId="13" xfId="0" applyNumberFormat="1" applyBorder="1"/>
    <xf numFmtId="167" fontId="0" fillId="3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3" xfId="1" applyNumberFormat="1" applyFont="1" applyBorder="1"/>
    <xf numFmtId="167" fontId="0" fillId="0" borderId="29" xfId="0" applyNumberFormat="1" applyBorder="1" applyAlignment="1">
      <alignment horizontal="center"/>
    </xf>
    <xf numFmtId="167" fontId="0" fillId="0" borderId="30" xfId="0" applyNumberFormat="1" applyBorder="1" applyAlignment="1">
      <alignment horizontal="center"/>
    </xf>
    <xf numFmtId="0" fontId="0" fillId="8" borderId="0" xfId="0" applyFill="1"/>
    <xf numFmtId="170" fontId="0" fillId="0" borderId="32" xfId="0" applyNumberFormat="1" applyFill="1" applyBorder="1"/>
    <xf numFmtId="170" fontId="0" fillId="0" borderId="33" xfId="0" applyNumberFormat="1" applyFill="1" applyBorder="1"/>
    <xf numFmtId="167" fontId="0" fillId="5" borderId="0" xfId="0" applyNumberFormat="1" applyFill="1"/>
    <xf numFmtId="167" fontId="7" fillId="6" borderId="35" xfId="0" applyNumberFormat="1" applyFont="1" applyFill="1" applyBorder="1" applyAlignment="1">
      <alignment horizontal="center" wrapText="1"/>
    </xf>
    <xf numFmtId="170" fontId="0" fillId="0" borderId="18" xfId="0" applyNumberFormat="1" applyFill="1" applyBorder="1"/>
    <xf numFmtId="170" fontId="0" fillId="0" borderId="19" xfId="0" applyNumberFormat="1" applyFill="1" applyBorder="1"/>
    <xf numFmtId="0" fontId="0" fillId="5" borderId="10" xfId="0" applyFill="1" applyBorder="1"/>
    <xf numFmtId="0" fontId="0" fillId="5" borderId="11" xfId="0" applyFill="1" applyBorder="1"/>
    <xf numFmtId="167" fontId="7" fillId="6" borderId="34" xfId="0" applyNumberFormat="1" applyFont="1" applyFill="1" applyBorder="1" applyAlignment="1">
      <alignment horizontal="center" wrapText="1"/>
    </xf>
    <xf numFmtId="0" fontId="7" fillId="9" borderId="14" xfId="0" applyFont="1" applyFill="1" applyBorder="1"/>
    <xf numFmtId="167" fontId="7" fillId="9" borderId="15" xfId="0" applyNumberFormat="1" applyFont="1" applyFill="1" applyBorder="1"/>
    <xf numFmtId="167" fontId="7" fillId="9" borderId="16" xfId="0" applyNumberFormat="1" applyFont="1" applyFill="1" applyBorder="1"/>
    <xf numFmtId="0" fontId="0" fillId="0" borderId="40" xfId="0" applyNumberFormat="1" applyFill="1" applyBorder="1" applyAlignment="1">
      <alignment horizontal="center"/>
    </xf>
    <xf numFmtId="0" fontId="0" fillId="0" borderId="41" xfId="0" applyNumberFormat="1" applyFill="1" applyBorder="1" applyAlignment="1">
      <alignment horizontal="center"/>
    </xf>
    <xf numFmtId="0" fontId="0" fillId="0" borderId="37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0" fontId="0" fillId="4" borderId="39" xfId="0" quotePrefix="1" applyFill="1" applyBorder="1"/>
    <xf numFmtId="167" fontId="0" fillId="4" borderId="40" xfId="0" applyNumberFormat="1" applyFill="1" applyBorder="1"/>
    <xf numFmtId="167" fontId="0" fillId="4" borderId="41" xfId="0" applyNumberFormat="1" applyFill="1" applyBorder="1"/>
    <xf numFmtId="0" fontId="0" fillId="5" borderId="27" xfId="0" applyFill="1" applyBorder="1"/>
    <xf numFmtId="167" fontId="0" fillId="0" borderId="37" xfId="0" applyNumberFormat="1" applyBorder="1"/>
    <xf numFmtId="167" fontId="0" fillId="0" borderId="38" xfId="0" applyNumberFormat="1" applyBorder="1"/>
    <xf numFmtId="1" fontId="0" fillId="0" borderId="43" xfId="0" applyNumberFormat="1" applyFill="1" applyBorder="1" applyAlignment="1">
      <alignment horizontal="center"/>
    </xf>
    <xf numFmtId="1" fontId="0" fillId="0" borderId="44" xfId="0" applyNumberFormat="1" applyFill="1" applyBorder="1" applyAlignment="1">
      <alignment horizontal="center"/>
    </xf>
    <xf numFmtId="167" fontId="0" fillId="0" borderId="37" xfId="0" applyNumberFormat="1" applyBorder="1" applyAlignment="1">
      <alignment horizontal="center"/>
    </xf>
    <xf numFmtId="167" fontId="0" fillId="0" borderId="38" xfId="0" applyNumberFormat="1" applyBorder="1" applyAlignment="1">
      <alignment horizontal="center"/>
    </xf>
    <xf numFmtId="170" fontId="0" fillId="0" borderId="2" xfId="0" applyNumberFormat="1" applyFill="1" applyBorder="1"/>
    <xf numFmtId="170" fontId="0" fillId="0" borderId="13" xfId="0" applyNumberFormat="1" applyFill="1" applyBorder="1"/>
    <xf numFmtId="167" fontId="7" fillId="6" borderId="45" xfId="0" applyNumberFormat="1" applyFont="1" applyFill="1" applyBorder="1" applyAlignment="1">
      <alignment horizontal="center" wrapText="1"/>
    </xf>
    <xf numFmtId="167" fontId="7" fillId="6" borderId="46" xfId="0" applyNumberFormat="1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170" fontId="0" fillId="8" borderId="11" xfId="0" applyNumberFormat="1" applyFill="1" applyBorder="1"/>
    <xf numFmtId="170" fontId="0" fillId="8" borderId="11" xfId="0" applyNumberFormat="1" applyFill="1" applyBorder="1" applyAlignment="1">
      <alignment vertical="center"/>
    </xf>
    <xf numFmtId="170" fontId="0" fillId="5" borderId="0" xfId="0" applyNumberFormat="1" applyFill="1" applyBorder="1"/>
    <xf numFmtId="170" fontId="0" fillId="8" borderId="0" xfId="0" applyNumberFormat="1" applyFill="1" applyBorder="1"/>
    <xf numFmtId="0" fontId="0" fillId="3" borderId="0" xfId="0" applyFill="1"/>
    <xf numFmtId="0" fontId="0" fillId="0" borderId="9" xfId="0" applyBorder="1"/>
    <xf numFmtId="3" fontId="0" fillId="0" borderId="9" xfId="0" applyNumberFormat="1" applyBorder="1"/>
    <xf numFmtId="0" fontId="9" fillId="11" borderId="8" xfId="0" quotePrefix="1" applyFont="1" applyFill="1" applyBorder="1"/>
    <xf numFmtId="167" fontId="9" fillId="11" borderId="1" xfId="0" applyNumberFormat="1" applyFont="1" applyFill="1" applyBorder="1"/>
    <xf numFmtId="167" fontId="9" fillId="11" borderId="9" xfId="0" applyNumberFormat="1" applyFont="1" applyFill="1" applyBorder="1"/>
    <xf numFmtId="0" fontId="9" fillId="11" borderId="5" xfId="0" quotePrefix="1" applyFont="1" applyFill="1" applyBorder="1"/>
    <xf numFmtId="167" fontId="9" fillId="11" borderId="6" xfId="0" applyNumberFormat="1" applyFont="1" applyFill="1" applyBorder="1"/>
    <xf numFmtId="167" fontId="9" fillId="11" borderId="7" xfId="0" applyNumberFormat="1" applyFont="1" applyFill="1" applyBorder="1"/>
    <xf numFmtId="0" fontId="0" fillId="3" borderId="0" xfId="0" applyFill="1" applyBorder="1"/>
    <xf numFmtId="0" fontId="0" fillId="10" borderId="17" xfId="0" applyFont="1" applyFill="1" applyBorder="1" applyAlignment="1">
      <alignment horizontal="left"/>
    </xf>
    <xf numFmtId="170" fontId="0" fillId="10" borderId="18" xfId="0" applyNumberFormat="1" applyFont="1" applyFill="1" applyBorder="1"/>
    <xf numFmtId="170" fontId="0" fillId="10" borderId="19" xfId="0" applyNumberFormat="1" applyFont="1" applyFill="1" applyBorder="1"/>
    <xf numFmtId="0" fontId="0" fillId="10" borderId="14" xfId="0" applyFont="1" applyFill="1" applyBorder="1" applyAlignment="1">
      <alignment horizontal="left"/>
    </xf>
    <xf numFmtId="167" fontId="0" fillId="10" borderId="15" xfId="0" applyNumberFormat="1" applyFont="1" applyFill="1" applyBorder="1"/>
    <xf numFmtId="167" fontId="0" fillId="10" borderId="16" xfId="0" applyNumberFormat="1" applyFont="1" applyFill="1" applyBorder="1"/>
    <xf numFmtId="0" fontId="7" fillId="7" borderId="58" xfId="0" applyFont="1" applyFill="1" applyBorder="1" applyAlignment="1">
      <alignment horizontal="center"/>
    </xf>
    <xf numFmtId="0" fontId="7" fillId="7" borderId="56" xfId="0" applyFont="1" applyFill="1" applyBorder="1" applyAlignment="1">
      <alignment horizontal="center"/>
    </xf>
    <xf numFmtId="169" fontId="0" fillId="5" borderId="59" xfId="0" applyNumberFormat="1" applyFill="1" applyBorder="1"/>
    <xf numFmtId="169" fontId="0" fillId="5" borderId="57" xfId="0" applyNumberFormat="1" applyFill="1" applyBorder="1"/>
    <xf numFmtId="10" fontId="8" fillId="5" borderId="57" xfId="0" applyNumberFormat="1" applyFont="1" applyFill="1" applyBorder="1" applyAlignment="1">
      <alignment horizontal="center"/>
    </xf>
    <xf numFmtId="0" fontId="0" fillId="10" borderId="1" xfId="0" quotePrefix="1" applyFont="1" applyFill="1" applyBorder="1"/>
    <xf numFmtId="164" fontId="0" fillId="10" borderId="1" xfId="0" applyNumberFormat="1" applyFill="1" applyBorder="1"/>
    <xf numFmtId="0" fontId="0" fillId="12" borderId="5" xfId="0" quotePrefix="1" applyFont="1" applyFill="1" applyBorder="1"/>
    <xf numFmtId="169" fontId="0" fillId="12" borderId="6" xfId="0" applyNumberFormat="1" applyFont="1" applyFill="1" applyBorder="1" applyAlignment="1">
      <alignment horizontal="right"/>
    </xf>
    <xf numFmtId="169" fontId="0" fillId="12" borderId="7" xfId="0" applyNumberFormat="1" applyFont="1" applyFill="1" applyBorder="1" applyAlignment="1">
      <alignment horizontal="right"/>
    </xf>
    <xf numFmtId="0" fontId="0" fillId="12" borderId="8" xfId="0" quotePrefix="1" applyFont="1" applyFill="1" applyBorder="1"/>
    <xf numFmtId="167" fontId="0" fillId="12" borderId="1" xfId="0" applyNumberFormat="1" applyFont="1" applyFill="1" applyBorder="1" applyAlignment="1">
      <alignment horizontal="right"/>
    </xf>
    <xf numFmtId="167" fontId="0" fillId="12" borderId="9" xfId="0" applyNumberFormat="1" applyFont="1" applyFill="1" applyBorder="1" applyAlignment="1">
      <alignment horizontal="right"/>
    </xf>
    <xf numFmtId="0" fontId="0" fillId="12" borderId="20" xfId="0" applyFill="1" applyBorder="1"/>
    <xf numFmtId="167" fontId="0" fillId="12" borderId="48" xfId="0" applyNumberFormat="1" applyFill="1" applyBorder="1"/>
    <xf numFmtId="0" fontId="0" fillId="12" borderId="47" xfId="0" applyFill="1" applyBorder="1"/>
    <xf numFmtId="167" fontId="0" fillId="12" borderId="49" xfId="0" applyNumberFormat="1" applyFill="1" applyBorder="1"/>
    <xf numFmtId="167" fontId="0" fillId="12" borderId="3" xfId="0" applyNumberFormat="1" applyFill="1" applyBorder="1"/>
    <xf numFmtId="167" fontId="0" fillId="12" borderId="21" xfId="0" applyNumberFormat="1" applyFill="1" applyBorder="1"/>
    <xf numFmtId="0" fontId="0" fillId="12" borderId="24" xfId="0" applyFill="1" applyBorder="1"/>
    <xf numFmtId="167" fontId="0" fillId="12" borderId="25" xfId="0" applyNumberFormat="1" applyFill="1" applyBorder="1"/>
    <xf numFmtId="167" fontId="0" fillId="12" borderId="26" xfId="0" applyNumberFormat="1" applyFill="1" applyBorder="1"/>
    <xf numFmtId="0" fontId="0" fillId="12" borderId="22" xfId="0" applyFill="1" applyBorder="1"/>
    <xf numFmtId="164" fontId="0" fillId="12" borderId="4" xfId="1" applyNumberFormat="1" applyFont="1" applyFill="1" applyBorder="1"/>
    <xf numFmtId="164" fontId="0" fillId="12" borderId="23" xfId="1" applyNumberFormat="1" applyFont="1" applyFill="1" applyBorder="1"/>
    <xf numFmtId="164" fontId="0" fillId="12" borderId="25" xfId="1" applyNumberFormat="1" applyFont="1" applyFill="1" applyBorder="1"/>
    <xf numFmtId="164" fontId="0" fillId="12" borderId="26" xfId="1" applyNumberFormat="1" applyFont="1" applyFill="1" applyBorder="1"/>
    <xf numFmtId="0" fontId="0" fillId="12" borderId="20" xfId="0" quotePrefix="1" applyFill="1" applyBorder="1"/>
    <xf numFmtId="167" fontId="0" fillId="12" borderId="3" xfId="0" applyNumberFormat="1" applyFont="1" applyFill="1" applyBorder="1" applyAlignment="1">
      <alignment horizontal="right"/>
    </xf>
    <xf numFmtId="167" fontId="0" fillId="12" borderId="21" xfId="0" applyNumberFormat="1" applyFont="1" applyFill="1" applyBorder="1" applyAlignment="1">
      <alignment horizontal="right"/>
    </xf>
    <xf numFmtId="0" fontId="0" fillId="12" borderId="24" xfId="0" quotePrefix="1" applyFill="1" applyBorder="1"/>
    <xf numFmtId="167" fontId="0" fillId="12" borderId="25" xfId="0" applyNumberFormat="1" applyFont="1" applyFill="1" applyBorder="1" applyAlignment="1">
      <alignment horizontal="right"/>
    </xf>
    <xf numFmtId="167" fontId="0" fillId="12" borderId="26" xfId="0" applyNumberFormat="1" applyFont="1" applyFill="1" applyBorder="1" applyAlignment="1">
      <alignment horizontal="right"/>
    </xf>
    <xf numFmtId="0" fontId="0" fillId="12" borderId="1" xfId="0" applyFill="1" applyBorder="1"/>
    <xf numFmtId="0" fontId="0" fillId="12" borderId="1" xfId="0" quotePrefix="1" applyFont="1" applyFill="1" applyBorder="1"/>
    <xf numFmtId="0" fontId="0" fillId="12" borderId="1" xfId="0" applyFont="1" applyFill="1" applyBorder="1" applyAlignment="1">
      <alignment horizontal="left"/>
    </xf>
    <xf numFmtId="0" fontId="0" fillId="12" borderId="1" xfId="0" applyFont="1" applyFill="1" applyBorder="1"/>
    <xf numFmtId="165" fontId="0" fillId="12" borderId="1" xfId="0" applyNumberFormat="1" applyFill="1" applyBorder="1"/>
    <xf numFmtId="0" fontId="0" fillId="5" borderId="12" xfId="0" quotePrefix="1" applyFill="1" applyBorder="1"/>
    <xf numFmtId="0" fontId="0" fillId="5" borderId="28" xfId="0" quotePrefix="1" applyFill="1" applyBorder="1"/>
    <xf numFmtId="0" fontId="0" fillId="5" borderId="36" xfId="0" quotePrefix="1" applyFill="1" applyBorder="1"/>
    <xf numFmtId="0" fontId="0" fillId="5" borderId="39" xfId="0" quotePrefix="1" applyFill="1" applyBorder="1" applyAlignment="1">
      <alignment horizontal="center"/>
    </xf>
    <xf numFmtId="0" fontId="0" fillId="5" borderId="12" xfId="0" quotePrefix="1" applyFill="1" applyBorder="1" applyAlignment="1">
      <alignment horizontal="center"/>
    </xf>
    <xf numFmtId="0" fontId="0" fillId="5" borderId="36" xfId="0" quotePrefix="1" applyFill="1" applyBorder="1" applyAlignment="1">
      <alignment horizontal="center"/>
    </xf>
    <xf numFmtId="0" fontId="0" fillId="5" borderId="42" xfId="0" quotePrefix="1" applyFill="1" applyBorder="1" applyAlignment="1">
      <alignment horizontal="right"/>
    </xf>
    <xf numFmtId="0" fontId="0" fillId="5" borderId="8" xfId="0" quotePrefix="1" applyFill="1" applyBorder="1"/>
    <xf numFmtId="0" fontId="0" fillId="5" borderId="17" xfId="0" quotePrefix="1" applyFill="1" applyBorder="1" applyAlignment="1">
      <alignment horizontal="left"/>
    </xf>
    <xf numFmtId="0" fontId="0" fillId="5" borderId="31" xfId="0" quotePrefix="1" applyFill="1" applyBorder="1" applyAlignment="1">
      <alignment horizontal="left"/>
    </xf>
    <xf numFmtId="0" fontId="11" fillId="5" borderId="0" xfId="6" applyFill="1"/>
    <xf numFmtId="0" fontId="0" fillId="12" borderId="53" xfId="0" applyFill="1" applyBorder="1"/>
    <xf numFmtId="0" fontId="0" fillId="12" borderId="54" xfId="0" applyFill="1" applyBorder="1"/>
    <xf numFmtId="0" fontId="0" fillId="12" borderId="55" xfId="0" applyFill="1" applyBorder="1"/>
    <xf numFmtId="0" fontId="0" fillId="12" borderId="0" xfId="0" applyFill="1" applyBorder="1"/>
    <xf numFmtId="0" fontId="0" fillId="12" borderId="59" xfId="0" applyFill="1" applyBorder="1"/>
    <xf numFmtId="0" fontId="0" fillId="12" borderId="56" xfId="0" applyFill="1" applyBorder="1"/>
    <xf numFmtId="0" fontId="0" fillId="12" borderId="52" xfId="0" applyFill="1" applyBorder="1"/>
    <xf numFmtId="0" fontId="0" fillId="12" borderId="57" xfId="0" applyFill="1" applyBorder="1"/>
    <xf numFmtId="0" fontId="11" fillId="12" borderId="0" xfId="6" applyFill="1" applyBorder="1" applyAlignment="1" applyProtection="1">
      <alignment horizontal="center" wrapText="1"/>
      <protection locked="0"/>
    </xf>
    <xf numFmtId="0" fontId="0" fillId="12" borderId="54" xfId="0" applyFill="1" applyBorder="1" applyAlignment="1">
      <alignment horizontal="center"/>
    </xf>
    <xf numFmtId="0" fontId="0" fillId="12" borderId="52" xfId="0" applyFill="1" applyBorder="1" applyAlignment="1">
      <alignment horizontal="center"/>
    </xf>
    <xf numFmtId="0" fontId="11" fillId="12" borderId="58" xfId="6" applyFill="1" applyBorder="1" applyAlignment="1">
      <alignment horizontal="left"/>
    </xf>
    <xf numFmtId="0" fontId="11" fillId="12" borderId="0" xfId="6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0" fillId="12" borderId="50" xfId="0" applyFill="1" applyBorder="1" applyAlignment="1">
      <alignment horizontal="right"/>
    </xf>
    <xf numFmtId="0" fontId="0" fillId="12" borderId="51" xfId="0" applyFill="1" applyBorder="1" applyAlignment="1">
      <alignment horizontal="right"/>
    </xf>
    <xf numFmtId="0" fontId="0" fillId="5" borderId="50" xfId="0" applyFill="1" applyBorder="1" applyAlignment="1">
      <alignment horizontal="left"/>
    </xf>
    <xf numFmtId="0" fontId="0" fillId="5" borderId="51" xfId="0" applyFill="1" applyBorder="1" applyAlignment="1">
      <alignment horizontal="left"/>
    </xf>
    <xf numFmtId="0" fontId="0" fillId="4" borderId="53" xfId="0" applyFill="1" applyBorder="1" applyAlignment="1">
      <alignment horizontal="center" wrapText="1"/>
    </xf>
    <xf numFmtId="0" fontId="0" fillId="4" borderId="54" xfId="0" applyFill="1" applyBorder="1" applyAlignment="1">
      <alignment horizontal="center" wrapText="1"/>
    </xf>
    <xf numFmtId="0" fontId="0" fillId="4" borderId="55" xfId="0" applyFill="1" applyBorder="1" applyAlignment="1">
      <alignment horizontal="center" wrapText="1"/>
    </xf>
    <xf numFmtId="0" fontId="0" fillId="4" borderId="56" xfId="0" applyFill="1" applyBorder="1" applyAlignment="1">
      <alignment horizontal="center" wrapText="1"/>
    </xf>
    <xf numFmtId="0" fontId="0" fillId="4" borderId="52" xfId="0" applyFill="1" applyBorder="1" applyAlignment="1">
      <alignment horizontal="center" wrapText="1"/>
    </xf>
    <xf numFmtId="0" fontId="0" fillId="4" borderId="57" xfId="0" applyFill="1" applyBorder="1" applyAlignment="1">
      <alignment horizontal="center" wrapText="1"/>
    </xf>
    <xf numFmtId="164" fontId="0" fillId="12" borderId="50" xfId="1" applyNumberFormat="1" applyFont="1" applyFill="1" applyBorder="1" applyAlignment="1">
      <alignment horizontal="right"/>
    </xf>
    <xf numFmtId="164" fontId="0" fillId="12" borderId="51" xfId="1" applyNumberFormat="1" applyFont="1" applyFill="1" applyBorder="1" applyAlignment="1">
      <alignment horizontal="right"/>
    </xf>
    <xf numFmtId="3" fontId="0" fillId="12" borderId="50" xfId="0" applyNumberFormat="1" applyFill="1" applyBorder="1" applyAlignment="1">
      <alignment horizontal="right"/>
    </xf>
    <xf numFmtId="3" fontId="0" fillId="12" borderId="51" xfId="0" applyNumberFormat="1" applyFill="1" applyBorder="1" applyAlignment="1">
      <alignment horizontal="right"/>
    </xf>
    <xf numFmtId="0" fontId="9" fillId="9" borderId="50" xfId="0" applyFont="1" applyFill="1" applyBorder="1" applyAlignment="1">
      <alignment horizontal="center"/>
    </xf>
    <xf numFmtId="0" fontId="9" fillId="9" borderId="51" xfId="0" applyFont="1" applyFill="1" applyBorder="1" applyAlignment="1">
      <alignment horizontal="center"/>
    </xf>
    <xf numFmtId="0" fontId="9" fillId="9" borderId="60" xfId="0" applyFont="1" applyFill="1" applyBorder="1" applyAlignment="1">
      <alignment horizontal="center"/>
    </xf>
    <xf numFmtId="164" fontId="6" fillId="12" borderId="50" xfId="1" applyNumberFormat="1" applyFont="1" applyFill="1" applyBorder="1" applyAlignment="1">
      <alignment horizontal="right"/>
    </xf>
    <xf numFmtId="164" fontId="6" fillId="12" borderId="51" xfId="1" applyNumberFormat="1" applyFont="1" applyFill="1" applyBorder="1" applyAlignment="1">
      <alignment horizontal="right"/>
    </xf>
    <xf numFmtId="164" fontId="0" fillId="10" borderId="1" xfId="0" applyNumberFormat="1" applyFill="1" applyBorder="1" applyAlignment="1">
      <alignment horizontal="right"/>
    </xf>
    <xf numFmtId="165" fontId="0" fillId="12" borderId="50" xfId="0" applyNumberFormat="1" applyFill="1" applyBorder="1" applyAlignment="1">
      <alignment horizontal="right"/>
    </xf>
    <xf numFmtId="165" fontId="0" fillId="12" borderId="51" xfId="0" applyNumberFormat="1" applyFill="1" applyBorder="1" applyAlignment="1">
      <alignment horizontal="right"/>
    </xf>
    <xf numFmtId="164" fontId="0" fillId="12" borderId="50" xfId="0" applyNumberFormat="1" applyFill="1" applyBorder="1" applyAlignment="1">
      <alignment horizontal="right"/>
    </xf>
    <xf numFmtId="164" fontId="0" fillId="12" borderId="51" xfId="0" applyNumberFormat="1" applyFill="1" applyBorder="1" applyAlignment="1">
      <alignment horizontal="right"/>
    </xf>
  </cellXfs>
  <cellStyles count="7">
    <cellStyle name="Hiperlink" xfId="6" builtinId="8"/>
    <cellStyle name="Norm." xfId="0" builtinId="0"/>
    <cellStyle name="Normalny 2" xfId="2"/>
    <cellStyle name="Normalny 3" xfId="3"/>
    <cellStyle name="Normalny 4" xfId="4"/>
    <cellStyle name="Walutowy" xfId="1" builtinId="4"/>
    <cellStyle name="Złe 2" xfId="5"/>
  </cellStyles>
  <dxfs count="2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 tint="-0.1499679555650502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 tint="-0.1499679555650502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 tint="-0.1499679555650502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 tint="-0.14996795556505021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FFFF99"/>
      <color rgb="FFFFFFCC"/>
      <color rgb="FFFFCC99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137584</xdr:colOff>
      <xdr:row>15</xdr:row>
      <xdr:rowOff>95250</xdr:rowOff>
    </xdr:from>
    <xdr:to>
      <xdr:col>4</xdr:col>
      <xdr:colOff>734</xdr:colOff>
      <xdr:row>32</xdr:row>
      <xdr:rowOff>79375</xdr:rowOff>
    </xdr:to>
    <xdr:cxnSp macro="">
      <xdr:nvCxnSpPr>
        <xdr:cNvPr id="3" name="Łącznik prosty ze strzałką 2"/>
        <xdr:cNvCxnSpPr/>
      </xdr:nvCxnSpPr>
      <xdr:spPr>
        <a:xfrm flipH="1">
          <a:off x="830792" y="1830917"/>
          <a:ext cx="556359" cy="56620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135355</xdr:colOff>
      <xdr:row>33</xdr:row>
      <xdr:rowOff>95250</xdr:rowOff>
    </xdr:from>
    <xdr:to>
      <xdr:col>4</xdr:col>
      <xdr:colOff>1</xdr:colOff>
      <xdr:row>44</xdr:row>
      <xdr:rowOff>85223</xdr:rowOff>
    </xdr:to>
    <xdr:cxnSp macro="">
      <xdr:nvCxnSpPr>
        <xdr:cNvPr id="6" name="Łącznik prosty ze strzałką 5"/>
        <xdr:cNvCxnSpPr/>
      </xdr:nvCxnSpPr>
      <xdr:spPr>
        <a:xfrm flipH="1">
          <a:off x="832184" y="1669382"/>
          <a:ext cx="561475" cy="18047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130342</xdr:colOff>
      <xdr:row>44</xdr:row>
      <xdr:rowOff>95250</xdr:rowOff>
    </xdr:from>
    <xdr:to>
      <xdr:col>4</xdr:col>
      <xdr:colOff>1</xdr:colOff>
      <xdr:row>49</xdr:row>
      <xdr:rowOff>85223</xdr:rowOff>
    </xdr:to>
    <xdr:cxnSp macro="">
      <xdr:nvCxnSpPr>
        <xdr:cNvPr id="9" name="Łącznik prosty ze strzałką 8"/>
        <xdr:cNvCxnSpPr/>
      </xdr:nvCxnSpPr>
      <xdr:spPr>
        <a:xfrm flipH="1">
          <a:off x="827171" y="1859882"/>
          <a:ext cx="566488" cy="180473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135355</xdr:colOff>
      <xdr:row>49</xdr:row>
      <xdr:rowOff>102577</xdr:rowOff>
    </xdr:from>
    <xdr:to>
      <xdr:col>4</xdr:col>
      <xdr:colOff>7327</xdr:colOff>
      <xdr:row>61</xdr:row>
      <xdr:rowOff>85223</xdr:rowOff>
    </xdr:to>
    <xdr:cxnSp macro="">
      <xdr:nvCxnSpPr>
        <xdr:cNvPr id="14" name="Łącznik prosty ze strzałką 13"/>
        <xdr:cNvCxnSpPr/>
      </xdr:nvCxnSpPr>
      <xdr:spPr>
        <a:xfrm flipH="1">
          <a:off x="832184" y="2057709"/>
          <a:ext cx="568801" cy="17314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130342</xdr:colOff>
      <xdr:row>61</xdr:row>
      <xdr:rowOff>87923</xdr:rowOff>
    </xdr:from>
    <xdr:to>
      <xdr:col>4</xdr:col>
      <xdr:colOff>1</xdr:colOff>
      <xdr:row>76</xdr:row>
      <xdr:rowOff>85223</xdr:rowOff>
    </xdr:to>
    <xdr:cxnSp macro="">
      <xdr:nvCxnSpPr>
        <xdr:cNvPr id="15" name="Łącznik prosty ze strzałką 14"/>
        <xdr:cNvCxnSpPr/>
      </xdr:nvCxnSpPr>
      <xdr:spPr>
        <a:xfrm flipH="1">
          <a:off x="827171" y="2233555"/>
          <a:ext cx="566488" cy="1878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135355</xdr:colOff>
      <xdr:row>76</xdr:row>
      <xdr:rowOff>104775</xdr:rowOff>
    </xdr:from>
    <xdr:to>
      <xdr:col>4</xdr:col>
      <xdr:colOff>9525</xdr:colOff>
      <xdr:row>81</xdr:row>
      <xdr:rowOff>85223</xdr:rowOff>
    </xdr:to>
    <xdr:cxnSp macro="">
      <xdr:nvCxnSpPr>
        <xdr:cNvPr id="16" name="Łącznik prosty ze strzałką 15"/>
        <xdr:cNvCxnSpPr/>
      </xdr:nvCxnSpPr>
      <xdr:spPr>
        <a:xfrm flipH="1">
          <a:off x="832184" y="2440907"/>
          <a:ext cx="570999" cy="17094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Relationship Id="rId5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1" Type="http://schemas.openxmlformats.org/officeDocument/2006/relationships/hyperlink" Target="https://marciniwuc.com/ile-kosztuje-posiadanie-auta" TargetMode="External"/><Relationship Id="rId2" Type="http://schemas.openxmlformats.org/officeDocument/2006/relationships/hyperlink" Target="mailto:duckdeduck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32"/>
  <sheetViews>
    <sheetView showGridLines="0" tabSelected="1" workbookViewId="0">
      <pane xSplit="5" ySplit="16" topLeftCell="F17" activePane="bottomRight" state="frozenSplit"/>
      <selection pane="topRight" activeCell="C1" sqref="C1"/>
      <selection pane="bottomLeft" activeCell="A21" sqref="A21"/>
      <selection pane="bottomRight" activeCell="O111" sqref="O111"/>
    </sheetView>
  </sheetViews>
  <sheetFormatPr baseColWidth="10" defaultColWidth="0" defaultRowHeight="15" outlineLevelRow="2" outlineLevelCol="1" x14ac:dyDescent="0.2"/>
  <cols>
    <col min="1" max="1" width="2.6640625" style="5" customWidth="1"/>
    <col min="2" max="3" width="7.6640625" style="5" customWidth="1"/>
    <col min="4" max="4" width="2.6640625" style="5" customWidth="1"/>
    <col min="5" max="5" width="42.6640625" style="5" customWidth="1"/>
    <col min="6" max="9" width="20.6640625" style="5" customWidth="1"/>
    <col min="10" max="12" width="20.6640625" style="5" hidden="1" customWidth="1" outlineLevel="1"/>
    <col min="13" max="13" width="2.6640625" style="9" customWidth="1" collapsed="1"/>
    <col min="14" max="15" width="7.6640625" style="5" customWidth="1"/>
    <col min="16" max="16" width="2.6640625" style="5" customWidth="1"/>
    <col min="17" max="18" width="9.1640625" style="5" hidden="1"/>
    <col min="19" max="19" width="11.83203125" style="5" hidden="1"/>
    <col min="20" max="20" width="9.1640625" style="5" hidden="1"/>
    <col min="21" max="21" width="11.83203125" style="5" hidden="1"/>
    <col min="22" max="16378" width="0" style="5" hidden="1"/>
    <col min="16379" max="16384" width="9.1640625" style="5" hidden="1"/>
  </cols>
  <sheetData>
    <row r="1" spans="1:17" ht="7" customHeight="1" x14ac:dyDescent="0.2"/>
    <row r="2" spans="1:17" x14ac:dyDescent="0.2">
      <c r="B2" s="122" t="s">
        <v>101</v>
      </c>
      <c r="C2" s="123"/>
      <c r="D2" s="123"/>
      <c r="E2" s="123"/>
      <c r="F2" s="123"/>
      <c r="G2" s="131" t="s">
        <v>104</v>
      </c>
      <c r="H2" s="123"/>
      <c r="I2" s="123"/>
      <c r="J2" s="123"/>
      <c r="K2" s="123"/>
      <c r="L2" s="124"/>
    </row>
    <row r="3" spans="1:17" x14ac:dyDescent="0.2">
      <c r="B3" s="133" t="s">
        <v>102</v>
      </c>
      <c r="C3" s="134"/>
      <c r="D3" s="134"/>
      <c r="E3" s="134"/>
      <c r="F3" s="125"/>
      <c r="G3" s="130" t="s">
        <v>103</v>
      </c>
      <c r="H3" s="125"/>
      <c r="I3" s="125"/>
      <c r="J3" s="125"/>
      <c r="K3" s="125"/>
      <c r="L3" s="126"/>
    </row>
    <row r="4" spans="1:17" x14ac:dyDescent="0.2">
      <c r="B4" s="127"/>
      <c r="C4" s="128"/>
      <c r="D4" s="128"/>
      <c r="E4" s="128"/>
      <c r="F4" s="128"/>
      <c r="G4" s="132" t="s">
        <v>105</v>
      </c>
      <c r="H4" s="128"/>
      <c r="I4" s="128"/>
      <c r="J4" s="128"/>
      <c r="K4" s="128"/>
      <c r="L4" s="129"/>
    </row>
    <row r="5" spans="1:17" ht="4" customHeight="1" x14ac:dyDescent="0.2"/>
    <row r="6" spans="1:17" customFormat="1" ht="16" thickBot="1" x14ac:dyDescent="0.25">
      <c r="A6" s="5"/>
      <c r="B6" s="5"/>
      <c r="C6" s="5"/>
      <c r="D6" s="5"/>
      <c r="E6" s="5"/>
      <c r="F6" s="6" t="s">
        <v>47</v>
      </c>
      <c r="G6" s="6" t="s">
        <v>48</v>
      </c>
      <c r="H6" s="6" t="s">
        <v>48</v>
      </c>
      <c r="I6" s="6"/>
      <c r="J6" s="6"/>
      <c r="K6" s="6"/>
      <c r="L6" s="6" t="s">
        <v>49</v>
      </c>
      <c r="M6" s="9"/>
      <c r="N6" s="5"/>
      <c r="O6" s="5"/>
      <c r="P6" s="5"/>
      <c r="Q6" s="5"/>
    </row>
    <row r="7" spans="1:17" customFormat="1" ht="30" x14ac:dyDescent="0.2">
      <c r="A7" s="5"/>
      <c r="B7" s="5"/>
      <c r="C7" s="5"/>
      <c r="D7" s="5"/>
      <c r="E7" s="24" t="s">
        <v>55</v>
      </c>
      <c r="F7" s="49" t="s">
        <v>91</v>
      </c>
      <c r="G7" s="49" t="s">
        <v>37</v>
      </c>
      <c r="H7" s="49" t="s">
        <v>41</v>
      </c>
      <c r="I7" s="49"/>
      <c r="J7" s="49"/>
      <c r="K7" s="49"/>
      <c r="L7" s="50" t="s">
        <v>38</v>
      </c>
      <c r="M7" s="54" t="s">
        <v>40</v>
      </c>
      <c r="N7" s="20"/>
      <c r="O7" s="20"/>
      <c r="P7" s="5"/>
      <c r="Q7" s="5"/>
    </row>
    <row r="8" spans="1:17" customFormat="1" ht="15" customHeight="1" x14ac:dyDescent="0.2">
      <c r="A8" s="5"/>
      <c r="B8" s="135" t="s">
        <v>79</v>
      </c>
      <c r="C8" s="135"/>
      <c r="D8" s="9"/>
      <c r="E8" s="118" t="s">
        <v>27</v>
      </c>
      <c r="F8" s="51">
        <v>48</v>
      </c>
      <c r="G8" s="51">
        <v>48</v>
      </c>
      <c r="H8" s="51">
        <v>48</v>
      </c>
      <c r="I8" s="51">
        <v>12</v>
      </c>
      <c r="J8" s="51">
        <v>12</v>
      </c>
      <c r="K8" s="51">
        <v>12</v>
      </c>
      <c r="L8" s="58">
        <v>36</v>
      </c>
      <c r="M8" s="53" t="s">
        <v>40</v>
      </c>
      <c r="N8" s="20"/>
      <c r="O8" s="20"/>
      <c r="P8" s="5"/>
      <c r="Q8" s="5"/>
    </row>
    <row r="9" spans="1:17" customFormat="1" ht="15" customHeight="1" x14ac:dyDescent="0.2">
      <c r="A9" s="5"/>
      <c r="B9" s="74" t="s">
        <v>30</v>
      </c>
      <c r="C9" s="77">
        <v>0.02</v>
      </c>
      <c r="D9" s="5"/>
      <c r="E9" s="118" t="s">
        <v>28</v>
      </c>
      <c r="F9" s="52">
        <v>120000</v>
      </c>
      <c r="G9" s="52">
        <v>120000</v>
      </c>
      <c r="H9" s="52">
        <v>120000</v>
      </c>
      <c r="I9" s="52">
        <v>0</v>
      </c>
      <c r="J9" s="52">
        <v>0</v>
      </c>
      <c r="K9" s="52">
        <v>0</v>
      </c>
      <c r="L9" s="59">
        <v>45000</v>
      </c>
      <c r="M9" s="53" t="s">
        <v>40</v>
      </c>
      <c r="N9" s="20"/>
      <c r="O9" s="20"/>
      <c r="P9" s="5"/>
      <c r="Q9" s="5"/>
    </row>
    <row r="10" spans="1:17" customFormat="1" ht="15" customHeight="1" collapsed="1" thickBot="1" x14ac:dyDescent="0.25">
      <c r="A10" s="5"/>
      <c r="B10" s="5"/>
      <c r="C10" s="5"/>
      <c r="D10" s="5"/>
      <c r="E10" s="70" t="s">
        <v>72</v>
      </c>
      <c r="F10" s="71">
        <f t="shared" ref="F10:L10" si="0">F45*F8+F35+F78</f>
        <v>0</v>
      </c>
      <c r="G10" s="71">
        <f t="shared" si="0"/>
        <v>31000</v>
      </c>
      <c r="H10" s="71">
        <f t="shared" si="0"/>
        <v>58000</v>
      </c>
      <c r="I10" s="71">
        <f t="shared" ref="I10" si="1">I45*I8+I35+I78</f>
        <v>0</v>
      </c>
      <c r="J10" s="71">
        <f t="shared" si="0"/>
        <v>0</v>
      </c>
      <c r="K10" s="71">
        <f t="shared" si="0"/>
        <v>0</v>
      </c>
      <c r="L10" s="72">
        <f t="shared" si="0"/>
        <v>51120</v>
      </c>
      <c r="M10" s="9"/>
      <c r="N10" s="5"/>
      <c r="O10" s="5"/>
      <c r="P10" s="5"/>
      <c r="Q10" s="5"/>
    </row>
    <row r="11" spans="1:17" customFormat="1" ht="15" customHeight="1" x14ac:dyDescent="0.2">
      <c r="A11" s="5"/>
      <c r="B11" s="135" t="s">
        <v>80</v>
      </c>
      <c r="C11" s="135"/>
      <c r="D11" s="5"/>
      <c r="E11" s="80" t="s">
        <v>77</v>
      </c>
      <c r="F11" s="81">
        <f t="shared" ref="F11:L11" si="2">IF(F48&gt;F8,"za dużo rat",IFERROR(F13/F9,0))</f>
        <v>0.50401666666666656</v>
      </c>
      <c r="G11" s="81">
        <f t="shared" si="2"/>
        <v>0.48931666666666668</v>
      </c>
      <c r="H11" s="81">
        <f t="shared" si="2"/>
        <v>0.59245000000000003</v>
      </c>
      <c r="I11" s="81">
        <f t="shared" ref="I11" si="3">IF(I48&gt;I8,"za dużo rat",IFERROR(I13/I9,0))</f>
        <v>0</v>
      </c>
      <c r="J11" s="81">
        <f t="shared" si="2"/>
        <v>0</v>
      </c>
      <c r="K11" s="81">
        <f t="shared" si="2"/>
        <v>0</v>
      </c>
      <c r="L11" s="82">
        <f t="shared" si="2"/>
        <v>3.6787999999999998</v>
      </c>
      <c r="M11" s="9"/>
      <c r="N11" s="5"/>
      <c r="O11" s="5"/>
      <c r="P11" s="5"/>
      <c r="Q11" s="5"/>
    </row>
    <row r="12" spans="1:17" customFormat="1" ht="15" customHeight="1" x14ac:dyDescent="0.2">
      <c r="A12" s="5"/>
      <c r="B12" s="73" t="s">
        <v>0</v>
      </c>
      <c r="C12" s="75">
        <v>4.59</v>
      </c>
      <c r="D12" s="5"/>
      <c r="E12" s="83" t="s">
        <v>78</v>
      </c>
      <c r="F12" s="84">
        <f t="shared" ref="F12:L12" si="4">IF(F48&gt;F8,"za dużo rat",F11*F9/F8)</f>
        <v>1260.0416666666663</v>
      </c>
      <c r="G12" s="84">
        <f t="shared" si="4"/>
        <v>1223.2916666666667</v>
      </c>
      <c r="H12" s="84">
        <f t="shared" si="4"/>
        <v>1481.125</v>
      </c>
      <c r="I12" s="84">
        <f t="shared" si="4"/>
        <v>0</v>
      </c>
      <c r="J12" s="84">
        <f t="shared" si="4"/>
        <v>0</v>
      </c>
      <c r="K12" s="84">
        <f t="shared" si="4"/>
        <v>0</v>
      </c>
      <c r="L12" s="85">
        <f t="shared" si="4"/>
        <v>4598.5</v>
      </c>
      <c r="M12" s="9"/>
      <c r="N12" s="5"/>
      <c r="O12" s="5"/>
      <c r="P12" s="5"/>
      <c r="Q12" s="5"/>
    </row>
    <row r="13" spans="1:17" customFormat="1" ht="15" customHeight="1" thickBot="1" x14ac:dyDescent="0.25">
      <c r="A13" s="5"/>
      <c r="B13" s="73" t="s">
        <v>1</v>
      </c>
      <c r="C13" s="75">
        <v>4.43</v>
      </c>
      <c r="D13" s="5"/>
      <c r="E13" s="70" t="s">
        <v>62</v>
      </c>
      <c r="F13" s="71">
        <f t="shared" ref="F13:L13" si="5">F16-F89</f>
        <v>60481.999999999993</v>
      </c>
      <c r="G13" s="71">
        <f t="shared" si="5"/>
        <v>58718</v>
      </c>
      <c r="H13" s="71">
        <f t="shared" si="5"/>
        <v>71094</v>
      </c>
      <c r="I13" s="71">
        <f t="shared" ref="I13" si="6">I16-I89</f>
        <v>0</v>
      </c>
      <c r="J13" s="71">
        <f t="shared" si="5"/>
        <v>0</v>
      </c>
      <c r="K13" s="71">
        <f t="shared" si="5"/>
        <v>0</v>
      </c>
      <c r="L13" s="72">
        <f t="shared" si="5"/>
        <v>165546</v>
      </c>
      <c r="M13" s="9"/>
      <c r="N13" s="5"/>
      <c r="O13" s="5"/>
      <c r="P13" s="5"/>
      <c r="Q13" s="5"/>
    </row>
    <row r="14" spans="1:17" customFormat="1" ht="15" customHeight="1" x14ac:dyDescent="0.2">
      <c r="A14" s="5"/>
      <c r="B14" s="74" t="s">
        <v>2</v>
      </c>
      <c r="C14" s="76">
        <v>2.08</v>
      </c>
      <c r="D14" s="5"/>
      <c r="E14" s="80" t="s">
        <v>64</v>
      </c>
      <c r="F14" s="81">
        <f t="shared" ref="F14:L14" si="7">IF(F48&gt;F8,"za dużo rat",IFERROR(F16/F9,0))</f>
        <v>0.45401666666666662</v>
      </c>
      <c r="G14" s="81">
        <f t="shared" si="7"/>
        <v>0.63931666666666664</v>
      </c>
      <c r="H14" s="81">
        <f t="shared" si="7"/>
        <v>0.80078333333333329</v>
      </c>
      <c r="I14" s="81">
        <f t="shared" ref="I14" si="8">IF(I48&gt;I8,"za dużo rat",IFERROR(I16/I9,0))</f>
        <v>0</v>
      </c>
      <c r="J14" s="81">
        <f t="shared" si="7"/>
        <v>0</v>
      </c>
      <c r="K14" s="81">
        <f t="shared" si="7"/>
        <v>0</v>
      </c>
      <c r="L14" s="82">
        <f t="shared" si="7"/>
        <v>3.6787999999999998</v>
      </c>
      <c r="M14" s="9"/>
      <c r="N14" s="5"/>
      <c r="O14" s="5"/>
      <c r="P14" s="5"/>
      <c r="Q14" s="5"/>
    </row>
    <row r="15" spans="1:17" customFormat="1" ht="15" customHeight="1" x14ac:dyDescent="0.2">
      <c r="A15" s="5"/>
      <c r="B15" s="5"/>
      <c r="C15" s="5"/>
      <c r="D15" s="5"/>
      <c r="E15" s="83" t="s">
        <v>65</v>
      </c>
      <c r="F15" s="84">
        <f t="shared" ref="F15:L15" si="9">IF(F48&gt;F8,"za dużo rat",F14*F9/F8)</f>
        <v>1135.0416666666665</v>
      </c>
      <c r="G15" s="84">
        <f t="shared" si="9"/>
        <v>1598.2916666666667</v>
      </c>
      <c r="H15" s="84">
        <f t="shared" si="9"/>
        <v>2001.9583333333333</v>
      </c>
      <c r="I15" s="84">
        <f t="shared" si="9"/>
        <v>0</v>
      </c>
      <c r="J15" s="84">
        <f t="shared" si="9"/>
        <v>0</v>
      </c>
      <c r="K15" s="84">
        <f t="shared" si="9"/>
        <v>0</v>
      </c>
      <c r="L15" s="85">
        <f t="shared" si="9"/>
        <v>4598.5</v>
      </c>
      <c r="M15" s="9"/>
      <c r="N15" s="5"/>
      <c r="O15" s="5"/>
      <c r="P15" s="5"/>
      <c r="Q15" s="5"/>
    </row>
    <row r="16" spans="1:17" customFormat="1" ht="15" customHeight="1" thickBot="1" x14ac:dyDescent="0.25">
      <c r="A16" s="5"/>
      <c r="B16" s="5"/>
      <c r="C16" s="5"/>
      <c r="D16" s="5"/>
      <c r="E16" s="70" t="s">
        <v>61</v>
      </c>
      <c r="F16" s="71">
        <f t="shared" ref="F16:L16" si="10">(F34+F45*F48+F50*F8+F62/12*F8+F77)</f>
        <v>54481.999999999993</v>
      </c>
      <c r="G16" s="71">
        <f t="shared" si="10"/>
        <v>76718</v>
      </c>
      <c r="H16" s="71">
        <f t="shared" si="10"/>
        <v>96094</v>
      </c>
      <c r="I16" s="71">
        <f t="shared" ref="I16" si="11">(I34+I45*I48+I50*I8+I62/12*I8+I77)</f>
        <v>0</v>
      </c>
      <c r="J16" s="71">
        <f t="shared" si="10"/>
        <v>0</v>
      </c>
      <c r="K16" s="71">
        <f t="shared" si="10"/>
        <v>0</v>
      </c>
      <c r="L16" s="72">
        <f t="shared" si="10"/>
        <v>165546</v>
      </c>
      <c r="M16" s="9"/>
      <c r="N16" s="5"/>
      <c r="O16" s="5"/>
      <c r="P16" s="5"/>
      <c r="Q16" s="5"/>
    </row>
    <row r="17" spans="1:19" customFormat="1" ht="15" customHeight="1" outlineLevel="2" x14ac:dyDescent="0.2">
      <c r="A17" s="5"/>
      <c r="B17" s="5"/>
      <c r="C17" s="5"/>
      <c r="D17" s="5"/>
      <c r="E17" s="88">
        <v>0</v>
      </c>
      <c r="F17" s="87">
        <f>F34</f>
        <v>6000</v>
      </c>
      <c r="G17" s="87">
        <f>G34</f>
        <v>34180</v>
      </c>
      <c r="H17" s="87">
        <f t="shared" ref="H17" si="12">H34</f>
        <v>65100</v>
      </c>
      <c r="I17" s="87">
        <f>I34</f>
        <v>0</v>
      </c>
      <c r="J17" s="87">
        <f>J34</f>
        <v>0</v>
      </c>
      <c r="K17" s="87">
        <f>K34</f>
        <v>0</v>
      </c>
      <c r="L17" s="89">
        <f>L34</f>
        <v>76800</v>
      </c>
      <c r="M17" s="9"/>
      <c r="N17" s="5"/>
      <c r="O17" s="5"/>
      <c r="P17" s="5"/>
      <c r="Q17" s="5"/>
    </row>
    <row r="18" spans="1:19" customFormat="1" ht="15" customHeight="1" outlineLevel="2" x14ac:dyDescent="0.2">
      <c r="A18" s="5"/>
      <c r="B18" s="5"/>
      <c r="C18" s="5"/>
      <c r="D18" s="5"/>
      <c r="E18" s="86">
        <f>E17+1</f>
        <v>1</v>
      </c>
      <c r="F18" s="90">
        <f t="shared" ref="F18:L32" si="13">F$50*IF(F$8&gt;=$E18*12,12,MAX(F$8-12*($E18-1),0))
+F$45*IF(F$48&gt;=$E18*12,12,MAX(F$48-12*($E18-1),0))
+F$62/12*IF(F$8&gt;=$E18*12,12,MAX(F$8-12*($E18-1),0))
+IF(AND(F$8&gt;=$E18*12,ROUNDUP(F$48/12,0)=$E18),F$77,0)</f>
        <v>12120.499999999998</v>
      </c>
      <c r="G18" s="90">
        <f t="shared" si="13"/>
        <v>10634.5</v>
      </c>
      <c r="H18" s="90">
        <f t="shared" si="13"/>
        <v>7748.5000000000009</v>
      </c>
      <c r="I18" s="90">
        <f t="shared" si="13"/>
        <v>0</v>
      </c>
      <c r="J18" s="90">
        <f t="shared" si="13"/>
        <v>0</v>
      </c>
      <c r="K18" s="90">
        <f t="shared" si="13"/>
        <v>0</v>
      </c>
      <c r="L18" s="91">
        <f t="shared" si="13"/>
        <v>29582</v>
      </c>
      <c r="M18" s="9"/>
      <c r="N18" s="5"/>
      <c r="O18" s="5"/>
      <c r="P18" s="5"/>
      <c r="Q18" s="5"/>
    </row>
    <row r="19" spans="1:19" customFormat="1" ht="15" customHeight="1" outlineLevel="2" x14ac:dyDescent="0.2">
      <c r="A19" s="5"/>
      <c r="B19" s="5"/>
      <c r="C19" s="5"/>
      <c r="D19" s="5"/>
      <c r="E19" s="86">
        <f>E18+1</f>
        <v>2</v>
      </c>
      <c r="F19" s="90">
        <f t="shared" si="13"/>
        <v>12120.499999999998</v>
      </c>
      <c r="G19" s="90">
        <f t="shared" si="13"/>
        <v>10634.5</v>
      </c>
      <c r="H19" s="90">
        <f t="shared" si="13"/>
        <v>7748.5000000000009</v>
      </c>
      <c r="I19" s="90">
        <f t="shared" si="13"/>
        <v>0</v>
      </c>
      <c r="J19" s="90">
        <f t="shared" si="13"/>
        <v>0</v>
      </c>
      <c r="K19" s="90">
        <f t="shared" si="13"/>
        <v>0</v>
      </c>
      <c r="L19" s="91">
        <f t="shared" si="13"/>
        <v>29582</v>
      </c>
      <c r="M19" s="9"/>
      <c r="N19" s="5"/>
      <c r="O19" s="5"/>
      <c r="P19" s="5"/>
      <c r="Q19" s="5"/>
    </row>
    <row r="20" spans="1:19" customFormat="1" ht="15" customHeight="1" outlineLevel="2" x14ac:dyDescent="0.2">
      <c r="A20" s="5"/>
      <c r="B20" s="5"/>
      <c r="C20" s="5"/>
      <c r="D20" s="5"/>
      <c r="E20" s="86">
        <f t="shared" ref="E20:E32" si="14">E19+1</f>
        <v>3</v>
      </c>
      <c r="F20" s="90">
        <f t="shared" si="13"/>
        <v>12120.499999999998</v>
      </c>
      <c r="G20" s="90">
        <f t="shared" si="13"/>
        <v>10634.5</v>
      </c>
      <c r="H20" s="90">
        <f t="shared" si="13"/>
        <v>7748.5000000000009</v>
      </c>
      <c r="I20" s="90">
        <f t="shared" si="13"/>
        <v>0</v>
      </c>
      <c r="J20" s="90">
        <f t="shared" si="13"/>
        <v>0</v>
      </c>
      <c r="K20" s="90">
        <f t="shared" si="13"/>
        <v>0</v>
      </c>
      <c r="L20" s="91">
        <f t="shared" si="13"/>
        <v>29582</v>
      </c>
      <c r="M20" s="9"/>
      <c r="N20" s="5"/>
      <c r="O20" s="5"/>
      <c r="P20" s="5"/>
      <c r="Q20" s="5"/>
    </row>
    <row r="21" spans="1:19" customFormat="1" ht="15" customHeight="1" outlineLevel="2" x14ac:dyDescent="0.2">
      <c r="A21" s="5"/>
      <c r="B21" s="5"/>
      <c r="C21" s="5"/>
      <c r="D21" s="5"/>
      <c r="E21" s="86">
        <f t="shared" si="14"/>
        <v>4</v>
      </c>
      <c r="F21" s="90">
        <f t="shared" si="13"/>
        <v>12120.499999999998</v>
      </c>
      <c r="G21" s="90">
        <f t="shared" si="13"/>
        <v>10634.5</v>
      </c>
      <c r="H21" s="90">
        <f t="shared" si="13"/>
        <v>7748.5000000000009</v>
      </c>
      <c r="I21" s="90">
        <f t="shared" si="13"/>
        <v>0</v>
      </c>
      <c r="J21" s="90">
        <f t="shared" si="13"/>
        <v>0</v>
      </c>
      <c r="K21" s="90">
        <f t="shared" si="13"/>
        <v>0</v>
      </c>
      <c r="L21" s="91">
        <f t="shared" si="13"/>
        <v>0</v>
      </c>
      <c r="M21" s="9"/>
      <c r="N21" s="5"/>
      <c r="O21" s="5"/>
      <c r="P21" s="5"/>
      <c r="Q21" s="5"/>
    </row>
    <row r="22" spans="1:19" customFormat="1" ht="15" customHeight="1" outlineLevel="2" x14ac:dyDescent="0.2">
      <c r="A22" s="5"/>
      <c r="B22" s="5"/>
      <c r="C22" s="5"/>
      <c r="D22" s="5"/>
      <c r="E22" s="86">
        <f t="shared" si="14"/>
        <v>5</v>
      </c>
      <c r="F22" s="90">
        <f t="shared" si="13"/>
        <v>0</v>
      </c>
      <c r="G22" s="90">
        <f t="shared" si="13"/>
        <v>0</v>
      </c>
      <c r="H22" s="90">
        <f t="shared" si="13"/>
        <v>0</v>
      </c>
      <c r="I22" s="90">
        <f t="shared" si="13"/>
        <v>0</v>
      </c>
      <c r="J22" s="90">
        <f t="shared" si="13"/>
        <v>0</v>
      </c>
      <c r="K22" s="90">
        <f t="shared" si="13"/>
        <v>0</v>
      </c>
      <c r="L22" s="91">
        <f t="shared" si="13"/>
        <v>0</v>
      </c>
      <c r="M22" s="9"/>
      <c r="N22" s="5"/>
      <c r="O22" s="5"/>
      <c r="P22" s="5"/>
      <c r="Q22" s="5"/>
    </row>
    <row r="23" spans="1:19" customFormat="1" ht="15" customHeight="1" outlineLevel="2" x14ac:dyDescent="0.2">
      <c r="A23" s="5"/>
      <c r="B23" s="5"/>
      <c r="C23" s="5"/>
      <c r="D23" s="5"/>
      <c r="E23" s="86">
        <f t="shared" si="14"/>
        <v>6</v>
      </c>
      <c r="F23" s="90">
        <f t="shared" si="13"/>
        <v>0</v>
      </c>
      <c r="G23" s="90">
        <f t="shared" si="13"/>
        <v>0</v>
      </c>
      <c r="H23" s="90">
        <f t="shared" si="13"/>
        <v>0</v>
      </c>
      <c r="I23" s="90">
        <f t="shared" si="13"/>
        <v>0</v>
      </c>
      <c r="J23" s="90">
        <f t="shared" si="13"/>
        <v>0</v>
      </c>
      <c r="K23" s="90">
        <f t="shared" si="13"/>
        <v>0</v>
      </c>
      <c r="L23" s="91">
        <f t="shared" si="13"/>
        <v>0</v>
      </c>
      <c r="M23" s="9"/>
      <c r="N23" s="5"/>
      <c r="O23" s="5"/>
      <c r="P23" s="5"/>
      <c r="Q23" s="5"/>
    </row>
    <row r="24" spans="1:19" customFormat="1" ht="15" customHeight="1" outlineLevel="2" x14ac:dyDescent="0.2">
      <c r="A24" s="5"/>
      <c r="B24" s="5"/>
      <c r="C24" s="5"/>
      <c r="D24" s="5"/>
      <c r="E24" s="86">
        <f t="shared" si="14"/>
        <v>7</v>
      </c>
      <c r="F24" s="90">
        <f t="shared" si="13"/>
        <v>0</v>
      </c>
      <c r="G24" s="90">
        <f t="shared" si="13"/>
        <v>0</v>
      </c>
      <c r="H24" s="90">
        <f t="shared" si="13"/>
        <v>0</v>
      </c>
      <c r="I24" s="90">
        <f t="shared" si="13"/>
        <v>0</v>
      </c>
      <c r="J24" s="90">
        <f t="shared" si="13"/>
        <v>0</v>
      </c>
      <c r="K24" s="90">
        <f t="shared" si="13"/>
        <v>0</v>
      </c>
      <c r="L24" s="91">
        <f t="shared" si="13"/>
        <v>0</v>
      </c>
      <c r="M24" s="9"/>
      <c r="N24" s="5"/>
      <c r="O24" s="5"/>
      <c r="P24" s="5"/>
      <c r="Q24" s="5"/>
      <c r="S24" t="s">
        <v>43</v>
      </c>
    </row>
    <row r="25" spans="1:19" customFormat="1" ht="15" customHeight="1" outlineLevel="2" x14ac:dyDescent="0.2">
      <c r="A25" s="5"/>
      <c r="B25" s="5"/>
      <c r="C25" s="5"/>
      <c r="D25" s="5"/>
      <c r="E25" s="86">
        <f t="shared" si="14"/>
        <v>8</v>
      </c>
      <c r="F25" s="90">
        <f t="shared" si="13"/>
        <v>0</v>
      </c>
      <c r="G25" s="90">
        <f t="shared" si="13"/>
        <v>0</v>
      </c>
      <c r="H25" s="90">
        <f t="shared" si="13"/>
        <v>0</v>
      </c>
      <c r="I25" s="90">
        <f t="shared" si="13"/>
        <v>0</v>
      </c>
      <c r="J25" s="90">
        <f t="shared" si="13"/>
        <v>0</v>
      </c>
      <c r="K25" s="90">
        <f t="shared" si="13"/>
        <v>0</v>
      </c>
      <c r="L25" s="91">
        <f t="shared" si="13"/>
        <v>0</v>
      </c>
      <c r="M25" s="9"/>
      <c r="N25" s="5"/>
      <c r="O25" s="5"/>
      <c r="P25" s="5"/>
      <c r="Q25" s="5"/>
      <c r="S25" t="s">
        <v>44</v>
      </c>
    </row>
    <row r="26" spans="1:19" customFormat="1" ht="15" customHeight="1" outlineLevel="2" x14ac:dyDescent="0.2">
      <c r="A26" s="5"/>
      <c r="B26" s="5"/>
      <c r="C26" s="5"/>
      <c r="D26" s="5"/>
      <c r="E26" s="86">
        <f t="shared" si="14"/>
        <v>9</v>
      </c>
      <c r="F26" s="90">
        <f t="shared" si="13"/>
        <v>0</v>
      </c>
      <c r="G26" s="90">
        <f t="shared" si="13"/>
        <v>0</v>
      </c>
      <c r="H26" s="90">
        <f t="shared" si="13"/>
        <v>0</v>
      </c>
      <c r="I26" s="90">
        <f t="shared" si="13"/>
        <v>0</v>
      </c>
      <c r="J26" s="90">
        <f t="shared" si="13"/>
        <v>0</v>
      </c>
      <c r="K26" s="90">
        <f t="shared" si="13"/>
        <v>0</v>
      </c>
      <c r="L26" s="91">
        <f t="shared" si="13"/>
        <v>0</v>
      </c>
      <c r="M26" s="9"/>
      <c r="N26" s="5"/>
      <c r="O26" s="5"/>
      <c r="P26" s="5"/>
      <c r="Q26" s="5"/>
      <c r="S26" t="s">
        <v>45</v>
      </c>
    </row>
    <row r="27" spans="1:19" customFormat="1" ht="15" customHeight="1" outlineLevel="2" x14ac:dyDescent="0.2">
      <c r="A27" s="5"/>
      <c r="B27" s="5"/>
      <c r="C27" s="5"/>
      <c r="D27" s="5"/>
      <c r="E27" s="86">
        <f t="shared" si="14"/>
        <v>10</v>
      </c>
      <c r="F27" s="90">
        <f t="shared" si="13"/>
        <v>0</v>
      </c>
      <c r="G27" s="90">
        <f t="shared" si="13"/>
        <v>0</v>
      </c>
      <c r="H27" s="90">
        <f t="shared" si="13"/>
        <v>0</v>
      </c>
      <c r="I27" s="90">
        <f t="shared" si="13"/>
        <v>0</v>
      </c>
      <c r="J27" s="90">
        <f t="shared" si="13"/>
        <v>0</v>
      </c>
      <c r="K27" s="90">
        <f t="shared" si="13"/>
        <v>0</v>
      </c>
      <c r="L27" s="91">
        <f t="shared" si="13"/>
        <v>0</v>
      </c>
      <c r="M27" s="9"/>
      <c r="N27" s="5"/>
      <c r="O27" s="5"/>
      <c r="P27" s="5"/>
      <c r="Q27" s="5"/>
    </row>
    <row r="28" spans="1:19" customFormat="1" ht="15" customHeight="1" outlineLevel="2" x14ac:dyDescent="0.2">
      <c r="A28" s="5"/>
      <c r="B28" s="5"/>
      <c r="C28" s="5"/>
      <c r="D28" s="5"/>
      <c r="E28" s="86">
        <f t="shared" si="14"/>
        <v>11</v>
      </c>
      <c r="F28" s="90">
        <f t="shared" si="13"/>
        <v>0</v>
      </c>
      <c r="G28" s="90">
        <f t="shared" si="13"/>
        <v>0</v>
      </c>
      <c r="H28" s="90">
        <f t="shared" si="13"/>
        <v>0</v>
      </c>
      <c r="I28" s="90">
        <f t="shared" si="13"/>
        <v>0</v>
      </c>
      <c r="J28" s="90">
        <f t="shared" si="13"/>
        <v>0</v>
      </c>
      <c r="K28" s="90">
        <f t="shared" si="13"/>
        <v>0</v>
      </c>
      <c r="L28" s="91">
        <f t="shared" si="13"/>
        <v>0</v>
      </c>
      <c r="M28" s="9"/>
      <c r="N28" s="5"/>
      <c r="O28" s="5"/>
      <c r="P28" s="5"/>
      <c r="Q28" s="5"/>
    </row>
    <row r="29" spans="1:19" customFormat="1" ht="15" customHeight="1" outlineLevel="2" x14ac:dyDescent="0.2">
      <c r="A29" s="5"/>
      <c r="B29" s="5"/>
      <c r="C29" s="5"/>
      <c r="D29" s="5"/>
      <c r="E29" s="86">
        <f t="shared" si="14"/>
        <v>12</v>
      </c>
      <c r="F29" s="90">
        <f t="shared" si="13"/>
        <v>0</v>
      </c>
      <c r="G29" s="90">
        <f t="shared" si="13"/>
        <v>0</v>
      </c>
      <c r="H29" s="90">
        <f t="shared" si="13"/>
        <v>0</v>
      </c>
      <c r="I29" s="90">
        <f t="shared" si="13"/>
        <v>0</v>
      </c>
      <c r="J29" s="90">
        <f t="shared" si="13"/>
        <v>0</v>
      </c>
      <c r="K29" s="90">
        <f t="shared" si="13"/>
        <v>0</v>
      </c>
      <c r="L29" s="91">
        <f t="shared" si="13"/>
        <v>0</v>
      </c>
      <c r="M29" s="9"/>
      <c r="N29" s="5"/>
      <c r="O29" s="5"/>
      <c r="P29" s="5"/>
      <c r="Q29" s="5"/>
    </row>
    <row r="30" spans="1:19" customFormat="1" ht="15" customHeight="1" outlineLevel="2" x14ac:dyDescent="0.2">
      <c r="A30" s="5"/>
      <c r="B30" s="5"/>
      <c r="C30" s="5"/>
      <c r="D30" s="5"/>
      <c r="E30" s="86">
        <f t="shared" si="14"/>
        <v>13</v>
      </c>
      <c r="F30" s="90">
        <f t="shared" si="13"/>
        <v>0</v>
      </c>
      <c r="G30" s="90">
        <f t="shared" si="13"/>
        <v>0</v>
      </c>
      <c r="H30" s="90">
        <f t="shared" si="13"/>
        <v>0</v>
      </c>
      <c r="I30" s="90">
        <f t="shared" si="13"/>
        <v>0</v>
      </c>
      <c r="J30" s="90">
        <f t="shared" si="13"/>
        <v>0</v>
      </c>
      <c r="K30" s="90">
        <f t="shared" si="13"/>
        <v>0</v>
      </c>
      <c r="L30" s="91">
        <f t="shared" si="13"/>
        <v>0</v>
      </c>
      <c r="M30" s="9"/>
      <c r="N30" s="5"/>
      <c r="O30" s="5"/>
      <c r="P30" s="5"/>
      <c r="Q30" s="5"/>
    </row>
    <row r="31" spans="1:19" customFormat="1" ht="15" customHeight="1" outlineLevel="2" x14ac:dyDescent="0.2">
      <c r="A31" s="5"/>
      <c r="B31" s="5"/>
      <c r="C31" s="5"/>
      <c r="D31" s="5"/>
      <c r="E31" s="86">
        <f t="shared" si="14"/>
        <v>14</v>
      </c>
      <c r="F31" s="90">
        <f t="shared" si="13"/>
        <v>0</v>
      </c>
      <c r="G31" s="90">
        <f t="shared" si="13"/>
        <v>0</v>
      </c>
      <c r="H31" s="90">
        <f t="shared" si="13"/>
        <v>0</v>
      </c>
      <c r="I31" s="90">
        <f t="shared" si="13"/>
        <v>0</v>
      </c>
      <c r="J31" s="90">
        <f t="shared" si="13"/>
        <v>0</v>
      </c>
      <c r="K31" s="90">
        <f t="shared" si="13"/>
        <v>0</v>
      </c>
      <c r="L31" s="91">
        <f t="shared" si="13"/>
        <v>0</v>
      </c>
      <c r="M31" s="9"/>
      <c r="N31" s="5"/>
      <c r="O31" s="5"/>
      <c r="P31" s="5"/>
      <c r="Q31" s="5"/>
    </row>
    <row r="32" spans="1:19" customFormat="1" ht="16" outlineLevel="2" thickBot="1" x14ac:dyDescent="0.25">
      <c r="A32" s="5"/>
      <c r="B32" s="5"/>
      <c r="C32" s="5"/>
      <c r="D32" s="5"/>
      <c r="E32" s="92">
        <f t="shared" si="14"/>
        <v>15</v>
      </c>
      <c r="F32" s="93">
        <f t="shared" si="13"/>
        <v>0</v>
      </c>
      <c r="G32" s="93">
        <f t="shared" si="13"/>
        <v>0</v>
      </c>
      <c r="H32" s="93">
        <f t="shared" si="13"/>
        <v>0</v>
      </c>
      <c r="I32" s="93">
        <f t="shared" si="13"/>
        <v>0</v>
      </c>
      <c r="J32" s="93">
        <f t="shared" si="13"/>
        <v>0</v>
      </c>
      <c r="K32" s="93">
        <f t="shared" si="13"/>
        <v>0</v>
      </c>
      <c r="L32" s="94">
        <f t="shared" si="13"/>
        <v>0</v>
      </c>
      <c r="M32" s="9"/>
      <c r="N32" s="5"/>
      <c r="O32" s="5"/>
      <c r="P32" s="5"/>
      <c r="Q32" s="5"/>
    </row>
    <row r="33" spans="1:17" customFormat="1" ht="15" customHeight="1" outlineLevel="1" thickBot="1" x14ac:dyDescent="0.25">
      <c r="A33" s="5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9"/>
      <c r="N33" s="5"/>
      <c r="O33" s="5"/>
      <c r="P33" s="5"/>
      <c r="Q33" s="5"/>
    </row>
    <row r="34" spans="1:17" customFormat="1" outlineLevel="1" x14ac:dyDescent="0.2">
      <c r="A34" s="5"/>
      <c r="B34" s="5"/>
      <c r="C34" s="5"/>
      <c r="D34" s="5"/>
      <c r="E34" s="63" t="s">
        <v>50</v>
      </c>
      <c r="F34" s="64">
        <f>SUM(F35:F43)</f>
        <v>6000</v>
      </c>
      <c r="G34" s="64">
        <f>SUM(G35:G43)</f>
        <v>34180</v>
      </c>
      <c r="H34" s="64">
        <f t="shared" ref="H34:L34" si="15">SUM(H35:H43)</f>
        <v>65100</v>
      </c>
      <c r="I34" s="64">
        <f t="shared" si="15"/>
        <v>0</v>
      </c>
      <c r="J34" s="64">
        <f t="shared" ref="J34:K34" si="16">SUM(J35:J43)</f>
        <v>0</v>
      </c>
      <c r="K34" s="64">
        <f t="shared" si="16"/>
        <v>0</v>
      </c>
      <c r="L34" s="65">
        <f t="shared" si="15"/>
        <v>76800</v>
      </c>
      <c r="M34" s="9"/>
      <c r="N34" s="5"/>
      <c r="O34" s="5"/>
      <c r="P34" s="5"/>
      <c r="Q34" s="5"/>
    </row>
    <row r="35" spans="1:17" customFormat="1" outlineLevel="2" x14ac:dyDescent="0.2">
      <c r="A35" s="5"/>
      <c r="B35" s="5"/>
      <c r="C35" s="5"/>
      <c r="D35" s="5"/>
      <c r="E35" s="37" t="s">
        <v>4</v>
      </c>
      <c r="F35" s="38">
        <v>0</v>
      </c>
      <c r="G35" s="38">
        <v>31000</v>
      </c>
      <c r="H35" s="38">
        <v>58000</v>
      </c>
      <c r="I35" s="38">
        <v>0</v>
      </c>
      <c r="J35" s="38">
        <v>0</v>
      </c>
      <c r="K35" s="38">
        <v>0</v>
      </c>
      <c r="L35" s="39">
        <v>0</v>
      </c>
      <c r="M35" s="55" t="s">
        <v>40</v>
      </c>
      <c r="N35" s="5"/>
      <c r="O35" s="5"/>
      <c r="P35" s="5"/>
      <c r="Q35" s="5"/>
    </row>
    <row r="36" spans="1:17" customFormat="1" outlineLevel="2" x14ac:dyDescent="0.2">
      <c r="A36" s="5"/>
      <c r="B36" s="5"/>
      <c r="C36" s="5"/>
      <c r="D36" s="5"/>
      <c r="E36" s="11" t="s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12">
        <v>76800</v>
      </c>
      <c r="M36" s="55" t="s">
        <v>40</v>
      </c>
      <c r="N36" s="5"/>
      <c r="O36" s="5"/>
      <c r="P36" s="5"/>
      <c r="Q36" s="5"/>
    </row>
    <row r="37" spans="1:17" customFormat="1" outlineLevel="2" x14ac:dyDescent="0.2">
      <c r="A37" s="5"/>
      <c r="B37" s="5"/>
      <c r="C37" s="5"/>
      <c r="D37" s="5"/>
      <c r="E37" s="11" t="s">
        <v>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12">
        <v>0</v>
      </c>
      <c r="M37" s="55" t="s">
        <v>40</v>
      </c>
      <c r="N37" s="5"/>
      <c r="O37" s="5"/>
      <c r="P37" s="5"/>
      <c r="Q37" s="5"/>
    </row>
    <row r="38" spans="1:17" customFormat="1" outlineLevel="2" x14ac:dyDescent="0.2">
      <c r="A38" s="5"/>
      <c r="B38" s="5"/>
      <c r="C38" s="5"/>
      <c r="D38" s="5"/>
      <c r="E38" s="111" t="s">
        <v>7</v>
      </c>
      <c r="F38" s="1">
        <v>6000</v>
      </c>
      <c r="G38" s="1">
        <v>1000</v>
      </c>
      <c r="H38" s="1">
        <v>0</v>
      </c>
      <c r="I38" s="1">
        <v>0</v>
      </c>
      <c r="J38" s="1">
        <v>0</v>
      </c>
      <c r="K38" s="1">
        <v>0</v>
      </c>
      <c r="L38" s="13">
        <v>0</v>
      </c>
      <c r="M38" s="55" t="s">
        <v>40</v>
      </c>
      <c r="N38" s="5"/>
      <c r="O38" s="5"/>
      <c r="P38" s="5"/>
      <c r="Q38" s="5"/>
    </row>
    <row r="39" spans="1:17" customFormat="1" outlineLevel="2" x14ac:dyDescent="0.2">
      <c r="A39" s="5"/>
      <c r="B39" s="5"/>
      <c r="C39" s="5"/>
      <c r="D39" s="5"/>
      <c r="E39" s="111" t="s">
        <v>8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3">
        <v>0</v>
      </c>
      <c r="M39" s="55" t="s">
        <v>40</v>
      </c>
      <c r="N39" s="5"/>
      <c r="O39" s="5"/>
      <c r="P39" s="5"/>
      <c r="Q39" s="5"/>
    </row>
    <row r="40" spans="1:17" customFormat="1" outlineLevel="2" x14ac:dyDescent="0.2">
      <c r="A40" s="5"/>
      <c r="B40" s="5"/>
      <c r="C40" s="5"/>
      <c r="D40" s="5"/>
      <c r="E40" s="111" t="s">
        <v>9</v>
      </c>
      <c r="F40" s="1">
        <v>0</v>
      </c>
      <c r="G40" s="1">
        <v>500</v>
      </c>
      <c r="H40" s="1">
        <v>0</v>
      </c>
      <c r="I40" s="1">
        <v>0</v>
      </c>
      <c r="J40" s="1">
        <v>0</v>
      </c>
      <c r="K40" s="1">
        <v>0</v>
      </c>
      <c r="L40" s="13">
        <v>0</v>
      </c>
      <c r="M40" s="55" t="s">
        <v>40</v>
      </c>
      <c r="N40" s="5"/>
      <c r="O40" s="5"/>
      <c r="P40" s="5"/>
      <c r="Q40" s="5"/>
    </row>
    <row r="41" spans="1:17" customFormat="1" outlineLevel="2" x14ac:dyDescent="0.2">
      <c r="A41" s="5"/>
      <c r="B41" s="5"/>
      <c r="C41" s="5"/>
      <c r="D41" s="5"/>
      <c r="E41" s="111" t="s">
        <v>10</v>
      </c>
      <c r="F41" s="1">
        <v>0</v>
      </c>
      <c r="G41" s="1">
        <v>180</v>
      </c>
      <c r="H41" s="1">
        <v>0</v>
      </c>
      <c r="I41" s="1">
        <v>0</v>
      </c>
      <c r="J41" s="1">
        <v>0</v>
      </c>
      <c r="K41" s="1">
        <v>0</v>
      </c>
      <c r="L41" s="13">
        <v>0</v>
      </c>
      <c r="M41" s="55" t="s">
        <v>40</v>
      </c>
      <c r="N41" s="5"/>
      <c r="O41" s="5"/>
      <c r="P41" s="5"/>
      <c r="Q41" s="5"/>
    </row>
    <row r="42" spans="1:17" customFormat="1" outlineLevel="2" x14ac:dyDescent="0.2">
      <c r="A42" s="5"/>
      <c r="B42" s="5"/>
      <c r="C42" s="5"/>
      <c r="D42" s="5"/>
      <c r="E42" s="111" t="s">
        <v>26</v>
      </c>
      <c r="F42" s="1">
        <v>0</v>
      </c>
      <c r="G42" s="1">
        <v>300</v>
      </c>
      <c r="H42" s="1">
        <v>0</v>
      </c>
      <c r="I42" s="1">
        <v>0</v>
      </c>
      <c r="J42" s="1">
        <v>0</v>
      </c>
      <c r="K42" s="1">
        <v>0</v>
      </c>
      <c r="L42" s="13">
        <v>0</v>
      </c>
      <c r="M42" s="55" t="s">
        <v>40</v>
      </c>
      <c r="N42" s="5"/>
      <c r="O42" s="5"/>
      <c r="P42" s="5"/>
      <c r="Q42" s="5"/>
    </row>
    <row r="43" spans="1:17" customFormat="1" outlineLevel="2" x14ac:dyDescent="0.2">
      <c r="A43" s="5"/>
      <c r="B43" s="5"/>
      <c r="C43" s="5"/>
      <c r="D43" s="5"/>
      <c r="E43" s="113" t="s">
        <v>11</v>
      </c>
      <c r="F43" s="41">
        <v>0</v>
      </c>
      <c r="G43" s="41">
        <v>1200</v>
      </c>
      <c r="H43" s="41">
        <f>55000*0.1+1600</f>
        <v>7100</v>
      </c>
      <c r="I43" s="41">
        <v>0</v>
      </c>
      <c r="J43" s="41">
        <v>0</v>
      </c>
      <c r="K43" s="41">
        <v>0</v>
      </c>
      <c r="L43" s="42">
        <v>0</v>
      </c>
      <c r="M43" s="55" t="s">
        <v>40</v>
      </c>
      <c r="N43" s="5"/>
      <c r="O43" s="5"/>
      <c r="P43" s="5"/>
      <c r="Q43" s="5"/>
    </row>
    <row r="44" spans="1:17" customFormat="1" outlineLevel="2" x14ac:dyDescent="0.2">
      <c r="A44" s="5"/>
      <c r="B44" s="5"/>
      <c r="C44" s="5"/>
      <c r="D44" s="5"/>
      <c r="E44" s="27"/>
      <c r="F44" s="9"/>
      <c r="G44" s="9"/>
      <c r="H44" s="9"/>
      <c r="I44" s="9"/>
      <c r="J44" s="9"/>
      <c r="K44" s="9"/>
      <c r="L44" s="28"/>
      <c r="M44" s="9"/>
      <c r="N44" s="5"/>
      <c r="O44" s="5"/>
      <c r="P44" s="5"/>
      <c r="Q44" s="5"/>
    </row>
    <row r="45" spans="1:17" customFormat="1" outlineLevel="1" x14ac:dyDescent="0.2">
      <c r="A45" s="5" t="s">
        <v>54</v>
      </c>
      <c r="B45" s="5"/>
      <c r="C45" s="5"/>
      <c r="D45" s="5"/>
      <c r="E45" s="60" t="s">
        <v>51</v>
      </c>
      <c r="F45" s="61">
        <f t="shared" ref="F45:L45" si="17">SUM(F46:F47)</f>
        <v>0</v>
      </c>
      <c r="G45" s="61">
        <f t="shared" si="17"/>
        <v>0</v>
      </c>
      <c r="H45" s="61">
        <f t="shared" ref="H45:I45" si="18">SUM(H46:H47)</f>
        <v>0</v>
      </c>
      <c r="I45" s="61">
        <f t="shared" si="18"/>
        <v>0</v>
      </c>
      <c r="J45" s="61">
        <f t="shared" ref="J45:K45" si="19">SUM(J46:J47)</f>
        <v>0</v>
      </c>
      <c r="K45" s="61">
        <f t="shared" si="19"/>
        <v>0</v>
      </c>
      <c r="L45" s="62">
        <f t="shared" si="17"/>
        <v>1420</v>
      </c>
      <c r="M45" s="9"/>
      <c r="N45" s="5"/>
      <c r="O45" s="5"/>
      <c r="P45" s="5"/>
      <c r="Q45" s="5"/>
    </row>
    <row r="46" spans="1:17" customFormat="1" outlineLevel="2" x14ac:dyDescent="0.2">
      <c r="A46" s="5"/>
      <c r="B46" s="5"/>
      <c r="C46" s="5"/>
      <c r="D46" s="5"/>
      <c r="E46" s="11" t="s">
        <v>39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12">
        <v>1420</v>
      </c>
      <c r="M46" s="55" t="s">
        <v>40</v>
      </c>
      <c r="N46" s="5"/>
      <c r="O46" s="5"/>
      <c r="P46" s="5"/>
      <c r="Q46" s="5"/>
    </row>
    <row r="47" spans="1:17" customFormat="1" outlineLevel="2" x14ac:dyDescent="0.2">
      <c r="A47" s="5"/>
      <c r="B47" s="5"/>
      <c r="C47" s="5"/>
      <c r="D47" s="5"/>
      <c r="E47" s="11" t="s">
        <v>31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12">
        <v>0</v>
      </c>
      <c r="M47" s="55" t="s">
        <v>40</v>
      </c>
      <c r="N47" s="5"/>
      <c r="O47" s="5"/>
      <c r="P47" s="5"/>
      <c r="Q47" s="5"/>
    </row>
    <row r="48" spans="1:17" customFormat="1" outlineLevel="2" x14ac:dyDescent="0.2">
      <c r="A48" s="5"/>
      <c r="B48" s="5"/>
      <c r="C48" s="5"/>
      <c r="D48" s="5"/>
      <c r="E48" s="117" t="s">
        <v>3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4">
        <v>36</v>
      </c>
      <c r="M48" s="55" t="s">
        <v>40</v>
      </c>
      <c r="N48" s="5"/>
      <c r="O48" s="5"/>
      <c r="P48" s="5"/>
      <c r="Q48" s="5"/>
    </row>
    <row r="49" spans="1:17" customFormat="1" outlineLevel="2" x14ac:dyDescent="0.2">
      <c r="A49" s="5"/>
      <c r="B49" s="5"/>
      <c r="C49" s="5"/>
      <c r="D49" s="5"/>
      <c r="E49" s="27"/>
      <c r="F49" s="9"/>
      <c r="G49" s="9"/>
      <c r="H49" s="9"/>
      <c r="I49" s="9">
        <v>0</v>
      </c>
      <c r="J49" s="9">
        <v>0</v>
      </c>
      <c r="K49" s="9">
        <v>0</v>
      </c>
      <c r="L49" s="28"/>
      <c r="M49" s="9"/>
      <c r="N49" s="5"/>
      <c r="O49" s="5"/>
      <c r="P49" s="5"/>
      <c r="Q49" s="5"/>
    </row>
    <row r="50" spans="1:17" customFormat="1" outlineLevel="1" x14ac:dyDescent="0.2">
      <c r="A50" s="5" t="s">
        <v>54</v>
      </c>
      <c r="B50" s="5"/>
      <c r="C50" s="5"/>
      <c r="D50" s="5"/>
      <c r="E50" s="60" t="s">
        <v>100</v>
      </c>
      <c r="F50" s="61">
        <f t="shared" ref="F50:L50" si="20">F51+SUM(F55:F60)</f>
        <v>663.37499999999989</v>
      </c>
      <c r="G50" s="61">
        <f t="shared" si="20"/>
        <v>585.375</v>
      </c>
      <c r="H50" s="61">
        <f t="shared" ref="H50" si="21">H51+SUM(H55:H60)</f>
        <v>507.37500000000006</v>
      </c>
      <c r="I50" s="61">
        <f>I51+SUM(I55:I60)</f>
        <v>0</v>
      </c>
      <c r="J50" s="61">
        <f>J51+SUM(J55:J60)</f>
        <v>0</v>
      </c>
      <c r="K50" s="61">
        <f>K51+SUM(K55:K60)</f>
        <v>0</v>
      </c>
      <c r="L50" s="62">
        <f t="shared" si="20"/>
        <v>572</v>
      </c>
      <c r="M50" s="9"/>
      <c r="N50" s="5"/>
      <c r="O50" s="5"/>
      <c r="P50" s="5"/>
      <c r="Q50" s="5"/>
    </row>
    <row r="51" spans="1:17" customFormat="1" outlineLevel="2" x14ac:dyDescent="0.2">
      <c r="A51" s="5"/>
      <c r="B51" s="5"/>
      <c r="C51" s="5"/>
      <c r="D51" s="5"/>
      <c r="E51" s="111" t="s">
        <v>12</v>
      </c>
      <c r="F51" s="8">
        <f t="shared" ref="F51:L51" si="22">IFERROR((F52*$C$12+F53*$C$13+F54*$C$14)*F9/F8/100,0)</f>
        <v>603.37499999999989</v>
      </c>
      <c r="G51" s="8">
        <f t="shared" si="22"/>
        <v>525.375</v>
      </c>
      <c r="H51" s="8">
        <f t="shared" si="22"/>
        <v>447.37500000000006</v>
      </c>
      <c r="I51" s="8">
        <f t="shared" si="22"/>
        <v>0</v>
      </c>
      <c r="J51" s="8">
        <f t="shared" si="22"/>
        <v>0</v>
      </c>
      <c r="K51" s="8">
        <f t="shared" si="22"/>
        <v>0</v>
      </c>
      <c r="L51" s="14">
        <f t="shared" si="22"/>
        <v>442</v>
      </c>
      <c r="M51" s="9"/>
      <c r="N51" s="5"/>
      <c r="O51" s="5"/>
      <c r="P51" s="5"/>
      <c r="Q51" s="5"/>
    </row>
    <row r="52" spans="1:17" customFormat="1" outlineLevel="2" x14ac:dyDescent="0.2">
      <c r="A52" s="5"/>
      <c r="B52" s="5"/>
      <c r="C52" s="5"/>
      <c r="D52" s="5"/>
      <c r="E52" s="114" t="s">
        <v>13</v>
      </c>
      <c r="F52" s="33">
        <v>0.5</v>
      </c>
      <c r="G52" s="33">
        <v>0.5</v>
      </c>
      <c r="H52" s="33">
        <v>0.5</v>
      </c>
      <c r="I52" s="33">
        <v>0</v>
      </c>
      <c r="J52" s="33">
        <v>0</v>
      </c>
      <c r="K52" s="33">
        <v>0</v>
      </c>
      <c r="L52" s="34">
        <v>0</v>
      </c>
      <c r="M52" s="55" t="s">
        <v>40</v>
      </c>
      <c r="N52" s="5"/>
      <c r="O52" s="5"/>
      <c r="P52" s="5"/>
      <c r="Q52" s="5"/>
    </row>
    <row r="53" spans="1:17" customFormat="1" outlineLevel="2" x14ac:dyDescent="0.2">
      <c r="A53" s="5"/>
      <c r="B53" s="5"/>
      <c r="C53" s="5"/>
      <c r="D53" s="5"/>
      <c r="E53" s="115" t="s">
        <v>14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15">
        <v>0</v>
      </c>
      <c r="M53" s="55" t="s">
        <v>40</v>
      </c>
      <c r="N53" s="5"/>
      <c r="O53" s="5"/>
      <c r="P53" s="5"/>
      <c r="Q53" s="5"/>
    </row>
    <row r="54" spans="1:17" customFormat="1" outlineLevel="2" x14ac:dyDescent="0.2">
      <c r="A54" s="5"/>
      <c r="B54" s="5"/>
      <c r="C54" s="5"/>
      <c r="D54" s="5"/>
      <c r="E54" s="116" t="s">
        <v>15</v>
      </c>
      <c r="F54" s="35">
        <v>10.5</v>
      </c>
      <c r="G54" s="35">
        <v>9</v>
      </c>
      <c r="H54" s="35">
        <v>7.5</v>
      </c>
      <c r="I54" s="35">
        <v>0</v>
      </c>
      <c r="J54" s="35">
        <v>0</v>
      </c>
      <c r="K54" s="35">
        <v>0</v>
      </c>
      <c r="L54" s="36">
        <v>17</v>
      </c>
      <c r="M54" s="55" t="s">
        <v>40</v>
      </c>
      <c r="N54" s="5"/>
      <c r="O54" s="5"/>
      <c r="P54" s="5"/>
      <c r="Q54" s="5"/>
    </row>
    <row r="55" spans="1:17" customFormat="1" outlineLevel="2" x14ac:dyDescent="0.2">
      <c r="A55" s="5"/>
      <c r="B55" s="5"/>
      <c r="C55" s="5"/>
      <c r="D55" s="5"/>
      <c r="E55" s="111" t="s">
        <v>35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3">
        <v>0</v>
      </c>
      <c r="M55" s="55" t="s">
        <v>40</v>
      </c>
      <c r="N55" s="5"/>
      <c r="O55" s="5"/>
      <c r="P55" s="5"/>
      <c r="Q55" s="5"/>
    </row>
    <row r="56" spans="1:17" customFormat="1" outlineLevel="2" x14ac:dyDescent="0.2">
      <c r="A56" s="5"/>
      <c r="B56" s="5"/>
      <c r="C56" s="5"/>
      <c r="D56" s="5"/>
      <c r="E56" s="111" t="s">
        <v>34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3">
        <v>0</v>
      </c>
      <c r="M56" s="55" t="s">
        <v>40</v>
      </c>
      <c r="N56" s="5"/>
      <c r="O56" s="5"/>
      <c r="P56" s="5"/>
      <c r="Q56" s="5"/>
    </row>
    <row r="57" spans="1:17" customFormat="1" outlineLevel="2" x14ac:dyDescent="0.2">
      <c r="A57" s="5"/>
      <c r="B57" s="5"/>
      <c r="C57" s="5"/>
      <c r="D57" s="5"/>
      <c r="E57" s="111" t="s">
        <v>33</v>
      </c>
      <c r="F57" s="7">
        <v>30</v>
      </c>
      <c r="G57" s="7">
        <v>30</v>
      </c>
      <c r="H57" s="7">
        <v>30</v>
      </c>
      <c r="I57" s="7">
        <v>0</v>
      </c>
      <c r="J57" s="7">
        <v>0</v>
      </c>
      <c r="K57" s="7">
        <v>0</v>
      </c>
      <c r="L57" s="16">
        <v>100</v>
      </c>
      <c r="M57" s="55" t="s">
        <v>40</v>
      </c>
      <c r="N57" s="5"/>
      <c r="O57" s="5"/>
      <c r="P57" s="5"/>
      <c r="Q57" s="5"/>
    </row>
    <row r="58" spans="1:17" customFormat="1" outlineLevel="2" x14ac:dyDescent="0.2">
      <c r="A58" s="5"/>
      <c r="B58" s="5"/>
      <c r="C58" s="5"/>
      <c r="D58" s="5"/>
      <c r="E58" s="111" t="s">
        <v>32</v>
      </c>
      <c r="F58" s="7">
        <v>30</v>
      </c>
      <c r="G58" s="7">
        <v>30</v>
      </c>
      <c r="H58" s="7">
        <v>30</v>
      </c>
      <c r="I58" s="7">
        <v>0</v>
      </c>
      <c r="J58" s="7">
        <v>0</v>
      </c>
      <c r="K58" s="7">
        <v>0</v>
      </c>
      <c r="L58" s="16">
        <v>30</v>
      </c>
      <c r="M58" s="55" t="s">
        <v>40</v>
      </c>
      <c r="N58" s="5"/>
      <c r="O58" s="5"/>
      <c r="P58" s="5"/>
      <c r="Q58" s="5"/>
    </row>
    <row r="59" spans="1:17" customFormat="1" outlineLevel="2" x14ac:dyDescent="0.2">
      <c r="A59" s="5"/>
      <c r="B59" s="5"/>
      <c r="C59" s="5"/>
      <c r="D59" s="5"/>
      <c r="E59" s="111" t="s">
        <v>36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16">
        <v>0</v>
      </c>
      <c r="M59" s="55" t="s">
        <v>40</v>
      </c>
      <c r="N59" s="5"/>
      <c r="O59" s="5"/>
      <c r="P59" s="5"/>
      <c r="Q59" s="5"/>
    </row>
    <row r="60" spans="1:17" customFormat="1" outlineLevel="2" x14ac:dyDescent="0.2">
      <c r="A60" s="5"/>
      <c r="B60" s="5"/>
      <c r="C60" s="5"/>
      <c r="D60" s="5"/>
      <c r="E60" s="113" t="s">
        <v>11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6">
        <v>0</v>
      </c>
      <c r="M60" s="55" t="s">
        <v>40</v>
      </c>
      <c r="N60" s="5"/>
      <c r="O60" s="5"/>
      <c r="P60" s="5"/>
      <c r="Q60" s="5"/>
    </row>
    <row r="61" spans="1:17" customFormat="1" outlineLevel="2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9"/>
      <c r="N61" s="5"/>
      <c r="O61" s="5"/>
      <c r="P61" s="5"/>
      <c r="Q61" s="5"/>
    </row>
    <row r="62" spans="1:17" customFormat="1" outlineLevel="1" x14ac:dyDescent="0.2">
      <c r="A62" s="5" t="s">
        <v>54</v>
      </c>
      <c r="B62" s="5"/>
      <c r="C62" s="5"/>
      <c r="D62" s="5"/>
      <c r="E62" s="60" t="s">
        <v>52</v>
      </c>
      <c r="F62" s="61">
        <f>SUM(F63:F75)</f>
        <v>4160</v>
      </c>
      <c r="G62" s="61">
        <f t="shared" ref="G62:L62" si="23">SUM(G63:G75)</f>
        <v>3610</v>
      </c>
      <c r="H62" s="61">
        <f t="shared" si="23"/>
        <v>1660</v>
      </c>
      <c r="I62" s="61">
        <f t="shared" ref="I62:J62" si="24">SUM(I63:I75)</f>
        <v>0</v>
      </c>
      <c r="J62" s="61">
        <f t="shared" si="24"/>
        <v>0</v>
      </c>
      <c r="K62" s="61">
        <f t="shared" ref="K62" si="25">SUM(K63:K75)</f>
        <v>0</v>
      </c>
      <c r="L62" s="62">
        <f t="shared" si="23"/>
        <v>5678</v>
      </c>
      <c r="M62" s="9"/>
      <c r="N62" s="5"/>
      <c r="O62" s="5"/>
      <c r="P62" s="5"/>
      <c r="Q62" s="5"/>
    </row>
    <row r="63" spans="1:17" customFormat="1" outlineLevel="2" x14ac:dyDescent="0.2">
      <c r="A63" s="5"/>
      <c r="B63" s="5"/>
      <c r="C63" s="5"/>
      <c r="D63" s="5"/>
      <c r="E63" s="11" t="s">
        <v>39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12">
        <v>0</v>
      </c>
      <c r="M63" s="55" t="s">
        <v>40</v>
      </c>
      <c r="N63" s="5"/>
      <c r="O63" s="5"/>
      <c r="P63" s="5"/>
      <c r="Q63" s="5"/>
    </row>
    <row r="64" spans="1:17" customFormat="1" outlineLevel="2" x14ac:dyDescent="0.2">
      <c r="A64" s="5"/>
      <c r="B64" s="5"/>
      <c r="C64" s="5"/>
      <c r="D64" s="5"/>
      <c r="E64" s="11" t="s">
        <v>31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12">
        <v>178</v>
      </c>
      <c r="M64" s="55" t="s">
        <v>40</v>
      </c>
      <c r="N64" s="5"/>
      <c r="O64" s="5"/>
      <c r="P64" s="5"/>
      <c r="Q64" s="5"/>
    </row>
    <row r="65" spans="1:17" customFormat="1" outlineLevel="2" x14ac:dyDescent="0.2">
      <c r="A65" s="5"/>
      <c r="B65" s="5"/>
      <c r="C65" s="5"/>
      <c r="D65" s="5"/>
      <c r="E65" s="111" t="s">
        <v>16</v>
      </c>
      <c r="F65" s="1">
        <v>800</v>
      </c>
      <c r="G65" s="1">
        <v>750</v>
      </c>
      <c r="H65" s="1">
        <v>0</v>
      </c>
      <c r="I65" s="1">
        <v>0</v>
      </c>
      <c r="J65" s="1">
        <v>0</v>
      </c>
      <c r="K65" s="1">
        <v>0</v>
      </c>
      <c r="L65" s="13">
        <v>1500</v>
      </c>
      <c r="M65" s="55" t="s">
        <v>40</v>
      </c>
      <c r="N65" s="5"/>
      <c r="O65" s="5"/>
      <c r="P65" s="5"/>
      <c r="Q65" s="5"/>
    </row>
    <row r="66" spans="1:17" customFormat="1" outlineLevel="2" x14ac:dyDescent="0.2">
      <c r="A66" s="5"/>
      <c r="B66" s="5"/>
      <c r="C66" s="5"/>
      <c r="D66" s="5"/>
      <c r="E66" s="111" t="s">
        <v>17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17">
        <v>4000</v>
      </c>
      <c r="M66" s="55" t="s">
        <v>40</v>
      </c>
      <c r="N66" s="5"/>
      <c r="O66" s="5"/>
      <c r="P66" s="5"/>
      <c r="Q66" s="5"/>
    </row>
    <row r="67" spans="1:17" customFormat="1" outlineLevel="2" x14ac:dyDescent="0.2">
      <c r="A67" s="5"/>
      <c r="B67" s="5"/>
      <c r="C67" s="5"/>
      <c r="D67" s="5"/>
      <c r="E67" s="111" t="s">
        <v>18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17">
        <v>0</v>
      </c>
      <c r="M67" s="55" t="s">
        <v>40</v>
      </c>
      <c r="N67" s="5"/>
      <c r="O67" s="5"/>
      <c r="P67" s="5"/>
      <c r="Q67" s="5"/>
    </row>
    <row r="68" spans="1:17" customFormat="1" outlineLevel="2" x14ac:dyDescent="0.2">
      <c r="A68" s="5"/>
      <c r="B68" s="5"/>
      <c r="C68" s="5"/>
      <c r="D68" s="5"/>
      <c r="E68" s="111" t="s">
        <v>19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17">
        <v>0</v>
      </c>
      <c r="M68" s="55" t="s">
        <v>40</v>
      </c>
      <c r="N68" s="5"/>
      <c r="O68" s="5"/>
      <c r="P68" s="5"/>
      <c r="Q68" s="5"/>
    </row>
    <row r="69" spans="1:17" customFormat="1" outlineLevel="2" x14ac:dyDescent="0.2">
      <c r="A69" s="5"/>
      <c r="B69" s="5"/>
      <c r="C69" s="5"/>
      <c r="D69" s="5"/>
      <c r="E69" s="111" t="s">
        <v>20</v>
      </c>
      <c r="F69" s="2">
        <v>160</v>
      </c>
      <c r="G69" s="2">
        <v>160</v>
      </c>
      <c r="H69" s="2">
        <v>160</v>
      </c>
      <c r="I69" s="2">
        <v>0</v>
      </c>
      <c r="J69" s="2">
        <v>0</v>
      </c>
      <c r="K69" s="2">
        <v>0</v>
      </c>
      <c r="L69" s="17">
        <v>0</v>
      </c>
      <c r="M69" s="55" t="s">
        <v>40</v>
      </c>
      <c r="N69" s="5"/>
      <c r="O69" s="5"/>
      <c r="P69" s="5"/>
      <c r="Q69" s="5"/>
    </row>
    <row r="70" spans="1:17" customFormat="1" outlineLevel="2" x14ac:dyDescent="0.2">
      <c r="A70" s="5"/>
      <c r="B70" s="5"/>
      <c r="C70" s="5"/>
      <c r="D70" s="5"/>
      <c r="E70" s="111" t="s">
        <v>21</v>
      </c>
      <c r="F70" s="1">
        <v>600</v>
      </c>
      <c r="G70" s="1">
        <v>600</v>
      </c>
      <c r="H70" s="1">
        <v>600</v>
      </c>
      <c r="I70" s="1">
        <v>0</v>
      </c>
      <c r="J70" s="1">
        <v>0</v>
      </c>
      <c r="K70" s="1">
        <v>0</v>
      </c>
      <c r="L70" s="13">
        <v>0</v>
      </c>
      <c r="M70" s="55" t="s">
        <v>40</v>
      </c>
      <c r="N70" s="5"/>
      <c r="O70" s="5"/>
      <c r="P70" s="5"/>
      <c r="Q70" s="5"/>
    </row>
    <row r="71" spans="1:17" customFormat="1" outlineLevel="2" x14ac:dyDescent="0.2">
      <c r="A71" s="5"/>
      <c r="B71" s="5"/>
      <c r="C71" s="5"/>
      <c r="D71" s="5"/>
      <c r="E71" s="111" t="s">
        <v>22</v>
      </c>
      <c r="F71" s="2">
        <v>100</v>
      </c>
      <c r="G71" s="2">
        <v>100</v>
      </c>
      <c r="H71" s="2">
        <v>100</v>
      </c>
      <c r="I71" s="2">
        <v>0</v>
      </c>
      <c r="J71" s="2">
        <v>0</v>
      </c>
      <c r="K71" s="2">
        <v>0</v>
      </c>
      <c r="L71" s="17">
        <v>0</v>
      </c>
      <c r="M71" s="55" t="s">
        <v>40</v>
      </c>
      <c r="N71" s="5"/>
      <c r="O71" s="5"/>
      <c r="P71" s="5"/>
      <c r="Q71" s="5"/>
    </row>
    <row r="72" spans="1:17" customFormat="1" outlineLevel="2" x14ac:dyDescent="0.2">
      <c r="A72" s="5"/>
      <c r="B72" s="5"/>
      <c r="C72" s="5"/>
      <c r="D72" s="5"/>
      <c r="E72" s="111" t="s">
        <v>23</v>
      </c>
      <c r="F72" s="1">
        <v>2500</v>
      </c>
      <c r="G72" s="1">
        <v>2000</v>
      </c>
      <c r="H72" s="1">
        <v>800</v>
      </c>
      <c r="I72" s="1">
        <v>0</v>
      </c>
      <c r="J72" s="1">
        <v>0</v>
      </c>
      <c r="K72" s="1">
        <v>0</v>
      </c>
      <c r="L72" s="13">
        <v>0</v>
      </c>
      <c r="M72" s="55" t="s">
        <v>40</v>
      </c>
      <c r="N72" s="5"/>
      <c r="O72" s="5"/>
      <c r="P72" s="5"/>
      <c r="Q72" s="5"/>
    </row>
    <row r="73" spans="1:17" customFormat="1" outlineLevel="2" x14ac:dyDescent="0.2">
      <c r="A73" s="5"/>
      <c r="B73" s="5"/>
      <c r="C73" s="5"/>
      <c r="D73" s="5"/>
      <c r="E73" s="111" t="s">
        <v>24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3">
        <v>0</v>
      </c>
      <c r="M73" s="55" t="s">
        <v>40</v>
      </c>
      <c r="N73" s="5"/>
      <c r="O73" s="5"/>
      <c r="P73" s="5"/>
      <c r="Q73" s="5"/>
    </row>
    <row r="74" spans="1:17" customFormat="1" outlineLevel="2" x14ac:dyDescent="0.2">
      <c r="A74" s="5"/>
      <c r="B74" s="5"/>
      <c r="C74" s="5"/>
      <c r="D74" s="5"/>
      <c r="E74" s="111" t="s">
        <v>26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3">
        <v>0</v>
      </c>
      <c r="M74" s="55" t="s">
        <v>40</v>
      </c>
      <c r="N74" s="5"/>
      <c r="O74" s="5"/>
      <c r="P74" s="5"/>
      <c r="Q74" s="5"/>
    </row>
    <row r="75" spans="1:17" customFormat="1" outlineLevel="2" x14ac:dyDescent="0.2">
      <c r="A75" s="5"/>
      <c r="B75" s="5"/>
      <c r="C75" s="5"/>
      <c r="D75" s="5"/>
      <c r="E75" s="113" t="s">
        <v>11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6">
        <v>0</v>
      </c>
      <c r="M75" s="55" t="s">
        <v>40</v>
      </c>
      <c r="N75" s="5"/>
      <c r="O75" s="5"/>
      <c r="P75" s="5"/>
      <c r="Q75" s="5"/>
    </row>
    <row r="76" spans="1:17" customFormat="1" outlineLevel="2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9"/>
      <c r="N76" s="5"/>
      <c r="O76" s="5"/>
      <c r="P76" s="5"/>
      <c r="Q76" s="5"/>
    </row>
    <row r="77" spans="1:17" customFormat="1" outlineLevel="1" x14ac:dyDescent="0.2">
      <c r="A77" s="5" t="s">
        <v>54</v>
      </c>
      <c r="B77" s="5"/>
      <c r="C77" s="5"/>
      <c r="D77" s="5"/>
      <c r="E77" s="60" t="s">
        <v>53</v>
      </c>
      <c r="F77" s="61">
        <f t="shared" ref="F77:L77" si="26">SUM(F78:F81)</f>
        <v>0</v>
      </c>
      <c r="G77" s="61">
        <f t="shared" si="26"/>
        <v>0</v>
      </c>
      <c r="H77" s="61">
        <f t="shared" si="26"/>
        <v>0</v>
      </c>
      <c r="I77" s="61">
        <f t="shared" si="26"/>
        <v>0</v>
      </c>
      <c r="J77" s="61">
        <f t="shared" ref="J77:K77" si="27">SUM(J78:J81)</f>
        <v>0</v>
      </c>
      <c r="K77" s="61">
        <f t="shared" si="27"/>
        <v>0</v>
      </c>
      <c r="L77" s="62">
        <f t="shared" si="26"/>
        <v>0</v>
      </c>
      <c r="M77" s="9"/>
      <c r="N77" s="5"/>
      <c r="O77" s="5"/>
      <c r="P77" s="5"/>
      <c r="Q77" s="5"/>
    </row>
    <row r="78" spans="1:17" customFormat="1" outlineLevel="2" x14ac:dyDescent="0.2">
      <c r="A78" s="5"/>
      <c r="B78" s="5"/>
      <c r="C78" s="5"/>
      <c r="D78" s="5"/>
      <c r="E78" s="37" t="s">
        <v>66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9">
        <v>0</v>
      </c>
      <c r="M78" s="55" t="s">
        <v>40</v>
      </c>
      <c r="N78" s="5"/>
      <c r="O78" s="5"/>
      <c r="P78" s="5"/>
      <c r="Q78" s="5"/>
    </row>
    <row r="79" spans="1:17" customFormat="1" outlineLevel="2" x14ac:dyDescent="0.2">
      <c r="A79" s="5"/>
      <c r="B79" s="5"/>
      <c r="C79" s="5"/>
      <c r="D79" s="5"/>
      <c r="E79" s="111" t="s">
        <v>25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3">
        <v>0</v>
      </c>
      <c r="M79" s="55" t="s">
        <v>40</v>
      </c>
      <c r="N79" s="5"/>
      <c r="O79" s="5"/>
      <c r="P79" s="5"/>
      <c r="Q79" s="5"/>
    </row>
    <row r="80" spans="1:17" customFormat="1" outlineLevel="2" x14ac:dyDescent="0.2">
      <c r="A80" s="5"/>
      <c r="B80" s="5"/>
      <c r="C80" s="5"/>
      <c r="D80" s="5"/>
      <c r="E80" s="111" t="s">
        <v>26</v>
      </c>
      <c r="F80" s="10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3">
        <v>0</v>
      </c>
      <c r="M80" s="55" t="s">
        <v>40</v>
      </c>
      <c r="N80" s="5"/>
      <c r="O80" s="5"/>
      <c r="P80" s="5"/>
      <c r="Q80" s="5"/>
    </row>
    <row r="81" spans="1:17" customFormat="1" ht="16" outlineLevel="2" thickBot="1" x14ac:dyDescent="0.25">
      <c r="A81" s="5"/>
      <c r="B81" s="5"/>
      <c r="C81" s="5"/>
      <c r="D81" s="5"/>
      <c r="E81" s="112" t="s">
        <v>11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9">
        <v>0</v>
      </c>
      <c r="M81" s="55" t="s">
        <v>40</v>
      </c>
      <c r="N81" s="5"/>
      <c r="O81" s="5"/>
      <c r="P81" s="5"/>
      <c r="Q81" s="5"/>
    </row>
    <row r="82" spans="1:17" customFormat="1" outlineLevel="1" x14ac:dyDescent="0.2">
      <c r="A82" s="5" t="s">
        <v>54</v>
      </c>
      <c r="B82" s="5"/>
      <c r="C82" s="5"/>
      <c r="D82" s="5"/>
      <c r="E82" s="40"/>
      <c r="F82" s="40"/>
      <c r="G82" s="40"/>
      <c r="H82" s="40"/>
      <c r="I82" s="40"/>
      <c r="J82" s="40"/>
      <c r="K82" s="40"/>
      <c r="L82" s="40"/>
      <c r="M82" s="9"/>
      <c r="N82" s="5"/>
      <c r="O82" s="5"/>
      <c r="P82" s="5"/>
      <c r="Q82" s="5"/>
    </row>
    <row r="83" spans="1:17" customFormat="1" ht="16" thickBot="1" x14ac:dyDescent="0.25">
      <c r="A83" s="20" t="s">
        <v>76</v>
      </c>
      <c r="B83" s="20"/>
      <c r="C83" s="20"/>
      <c r="D83" s="20"/>
      <c r="E83" s="5"/>
      <c r="F83" s="5"/>
      <c r="G83" s="5"/>
      <c r="H83" s="5"/>
      <c r="I83" s="5"/>
      <c r="J83" s="5"/>
      <c r="K83" s="5"/>
      <c r="L83" s="5"/>
      <c r="M83" s="9"/>
      <c r="N83" s="5"/>
      <c r="O83" s="5"/>
      <c r="P83" s="5"/>
      <c r="Q83" s="5"/>
    </row>
    <row r="84" spans="1:17" customFormat="1" ht="16" thickBot="1" x14ac:dyDescent="0.25">
      <c r="A84" s="5"/>
      <c r="B84" s="5"/>
      <c r="C84" s="5"/>
      <c r="D84" s="5"/>
      <c r="E84" s="24" t="s">
        <v>56</v>
      </c>
      <c r="F84" s="5"/>
      <c r="G84" s="5"/>
      <c r="H84" s="5"/>
      <c r="I84" s="5"/>
      <c r="J84" s="5"/>
      <c r="K84" s="5"/>
      <c r="L84" s="5"/>
      <c r="M84" s="9"/>
      <c r="N84" s="5"/>
      <c r="O84" s="5"/>
      <c r="P84" s="5"/>
      <c r="Q84" s="5"/>
    </row>
    <row r="85" spans="1:17" customFormat="1" collapsed="1" x14ac:dyDescent="0.2">
      <c r="A85" s="5"/>
      <c r="B85" s="5"/>
      <c r="C85" s="5"/>
      <c r="D85" s="5"/>
      <c r="E85" s="119" t="s">
        <v>57</v>
      </c>
      <c r="F85" s="25">
        <v>11000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6">
        <v>0</v>
      </c>
      <c r="M85" s="56" t="s">
        <v>40</v>
      </c>
      <c r="N85" s="20"/>
      <c r="O85" s="20"/>
      <c r="P85" s="5"/>
      <c r="Q85" s="5"/>
    </row>
    <row r="86" spans="1:17" customFormat="1" x14ac:dyDescent="0.2">
      <c r="A86" s="5"/>
      <c r="B86" s="5"/>
      <c r="C86" s="5"/>
      <c r="D86" s="5"/>
      <c r="E86" s="120" t="s">
        <v>68</v>
      </c>
      <c r="F86" s="47">
        <v>0</v>
      </c>
      <c r="G86" s="47">
        <v>30000</v>
      </c>
      <c r="H86" s="47">
        <v>58000</v>
      </c>
      <c r="I86" s="47">
        <v>0</v>
      </c>
      <c r="J86" s="47">
        <v>0</v>
      </c>
      <c r="K86" s="47">
        <v>0</v>
      </c>
      <c r="L86" s="48">
        <v>0</v>
      </c>
      <c r="M86" s="56" t="s">
        <v>40</v>
      </c>
      <c r="N86" s="20"/>
      <c r="O86" s="20"/>
      <c r="P86" s="5"/>
      <c r="Q86" s="5"/>
    </row>
    <row r="87" spans="1:17" customFormat="1" x14ac:dyDescent="0.2">
      <c r="A87" s="5"/>
      <c r="B87" s="5"/>
      <c r="C87" s="5"/>
      <c r="D87" s="5"/>
      <c r="E87" s="120" t="s">
        <v>29</v>
      </c>
      <c r="F87" s="21">
        <v>5000</v>
      </c>
      <c r="G87" s="21">
        <v>18000</v>
      </c>
      <c r="H87" s="21">
        <v>25000</v>
      </c>
      <c r="I87" s="21">
        <v>0</v>
      </c>
      <c r="J87" s="21">
        <v>0</v>
      </c>
      <c r="K87" s="21">
        <v>0</v>
      </c>
      <c r="L87" s="22">
        <v>0</v>
      </c>
      <c r="M87" s="56" t="s">
        <v>40</v>
      </c>
      <c r="N87" s="20"/>
      <c r="O87" s="20"/>
      <c r="P87" s="5"/>
      <c r="Q87" s="5"/>
    </row>
    <row r="88" spans="1:17" customFormat="1" x14ac:dyDescent="0.2">
      <c r="A88" s="5"/>
      <c r="B88" s="5"/>
      <c r="C88" s="5"/>
      <c r="D88" s="5"/>
      <c r="E88" s="95" t="s">
        <v>42</v>
      </c>
      <c r="F88" s="96">
        <f>IF(F85&lt;&gt;0,F87-F85,IF(F86&lt;&gt;0,F87-F86,0))</f>
        <v>-6000</v>
      </c>
      <c r="G88" s="96">
        <f>IF(G85&lt;&gt;0,G87-G85,IF(G86&lt;&gt;0,G87-G86,0))</f>
        <v>-12000</v>
      </c>
      <c r="H88" s="96">
        <f t="shared" ref="H88:L88" si="28">IF(H85&lt;&gt;0,H87-H85,IF(H86&lt;&gt;0,H87-H86,0))</f>
        <v>-33000</v>
      </c>
      <c r="I88" s="96">
        <f t="shared" ref="I88:J88" si="29">IF(I85&lt;&gt;0,I87-I85,IF(I86&lt;&gt;0,I87-I86,0))</f>
        <v>0</v>
      </c>
      <c r="J88" s="96">
        <f t="shared" si="29"/>
        <v>0</v>
      </c>
      <c r="K88" s="96">
        <f t="shared" si="28"/>
        <v>0</v>
      </c>
      <c r="L88" s="97">
        <f t="shared" si="28"/>
        <v>0</v>
      </c>
      <c r="M88" s="56"/>
      <c r="N88" s="20"/>
      <c r="O88" s="20"/>
      <c r="P88" s="5"/>
      <c r="Q88" s="5"/>
    </row>
    <row r="89" spans="1:17" customFormat="1" ht="16" thickBot="1" x14ac:dyDescent="0.25">
      <c r="A89" s="5"/>
      <c r="B89" s="5"/>
      <c r="C89" s="5"/>
      <c r="D89" s="5"/>
      <c r="E89" s="92" t="s">
        <v>69</v>
      </c>
      <c r="F89" s="98">
        <f t="shared" ref="F89:L89" si="30">F87-F85</f>
        <v>-6000</v>
      </c>
      <c r="G89" s="98">
        <f t="shared" si="30"/>
        <v>18000</v>
      </c>
      <c r="H89" s="98">
        <f t="shared" si="30"/>
        <v>25000</v>
      </c>
      <c r="I89" s="98">
        <f t="shared" si="30"/>
        <v>0</v>
      </c>
      <c r="J89" s="98">
        <f t="shared" si="30"/>
        <v>0</v>
      </c>
      <c r="K89" s="98">
        <f t="shared" si="30"/>
        <v>0</v>
      </c>
      <c r="L89" s="99">
        <f t="shared" si="30"/>
        <v>0</v>
      </c>
      <c r="M89" s="9"/>
      <c r="N89" s="5"/>
      <c r="O89" s="5"/>
      <c r="P89" s="5"/>
      <c r="Q89" s="5"/>
    </row>
    <row r="90" spans="1:17" customFormat="1" ht="16" thickBo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9"/>
      <c r="N90" s="5"/>
      <c r="O90" s="5"/>
      <c r="P90" s="5"/>
      <c r="Q90" s="5"/>
    </row>
    <row r="91" spans="1:17" customFormat="1" ht="16" thickBot="1" x14ac:dyDescent="0.25">
      <c r="A91" s="5"/>
      <c r="B91" s="5"/>
      <c r="C91" s="5"/>
      <c r="D91" s="5"/>
      <c r="E91" s="29" t="s">
        <v>59</v>
      </c>
      <c r="F91" s="5"/>
      <c r="G91" s="5"/>
      <c r="H91" s="5"/>
      <c r="I91" s="5"/>
      <c r="J91" s="5"/>
      <c r="K91" s="5"/>
      <c r="L91" s="5"/>
      <c r="M91" s="9"/>
      <c r="N91" s="5"/>
      <c r="O91" s="5"/>
      <c r="P91" s="5"/>
      <c r="Q91" s="5"/>
    </row>
    <row r="92" spans="1:17" customFormat="1" x14ac:dyDescent="0.2">
      <c r="A92" s="5"/>
      <c r="B92" s="5"/>
      <c r="C92" s="5"/>
      <c r="D92" s="5"/>
      <c r="E92" s="119" t="s">
        <v>67</v>
      </c>
      <c r="F92" s="25">
        <v>6000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6">
        <v>0</v>
      </c>
      <c r="M92" s="56" t="s">
        <v>40</v>
      </c>
      <c r="N92" s="20"/>
      <c r="O92" s="20"/>
      <c r="P92" s="5"/>
      <c r="Q92" s="5"/>
    </row>
    <row r="93" spans="1:17" customFormat="1" x14ac:dyDescent="0.2">
      <c r="A93" s="5"/>
      <c r="B93" s="5"/>
      <c r="C93" s="5"/>
      <c r="D93" s="5"/>
      <c r="E93" s="100" t="s">
        <v>46</v>
      </c>
      <c r="F93" s="101">
        <f t="shared" ref="F93:L93" si="31">IF(F48&gt;F8,"za dużo rat",-PMT($C$9/12,F8,0,F92,1))</f>
        <v>119.97079051851136</v>
      </c>
      <c r="G93" s="101">
        <f t="shared" si="31"/>
        <v>0</v>
      </c>
      <c r="H93" s="101">
        <f t="shared" si="31"/>
        <v>0</v>
      </c>
      <c r="I93" s="101">
        <f t="shared" si="31"/>
        <v>0</v>
      </c>
      <c r="J93" s="101">
        <f t="shared" si="31"/>
        <v>0</v>
      </c>
      <c r="K93" s="101">
        <f t="shared" si="31"/>
        <v>0</v>
      </c>
      <c r="L93" s="102">
        <f t="shared" si="31"/>
        <v>0</v>
      </c>
      <c r="M93" s="9"/>
      <c r="N93" s="5"/>
      <c r="O93" s="5"/>
      <c r="P93" s="5"/>
      <c r="Q93" s="5"/>
    </row>
    <row r="94" spans="1:17" customFormat="1" ht="16" thickBot="1" x14ac:dyDescent="0.25">
      <c r="A94" s="5"/>
      <c r="B94" s="5"/>
      <c r="C94" s="5"/>
      <c r="D94" s="5"/>
      <c r="E94" s="103" t="s">
        <v>58</v>
      </c>
      <c r="F94" s="104">
        <f t="shared" ref="F94:L94" si="32">F92+F87</f>
        <v>11000</v>
      </c>
      <c r="G94" s="104">
        <f t="shared" si="32"/>
        <v>18000</v>
      </c>
      <c r="H94" s="104">
        <f t="shared" si="32"/>
        <v>25000</v>
      </c>
      <c r="I94" s="104">
        <f t="shared" ref="I94:J94" si="33">I92+I87</f>
        <v>0</v>
      </c>
      <c r="J94" s="104">
        <f t="shared" si="33"/>
        <v>0</v>
      </c>
      <c r="K94" s="104">
        <f t="shared" si="32"/>
        <v>0</v>
      </c>
      <c r="L94" s="105">
        <f t="shared" si="32"/>
        <v>0</v>
      </c>
      <c r="M94" s="9"/>
      <c r="N94" s="5"/>
      <c r="O94" s="5"/>
      <c r="P94" s="5"/>
      <c r="Q94" s="5"/>
    </row>
    <row r="95" spans="1:17" customFormat="1" x14ac:dyDescent="0.2">
      <c r="A95" s="5"/>
      <c r="B95" s="5"/>
      <c r="C95" s="5"/>
      <c r="D95" s="5"/>
      <c r="E95" s="67" t="s">
        <v>63</v>
      </c>
      <c r="F95" s="68">
        <f t="shared" ref="F95:L95" si="34">F16+F8*F93</f>
        <v>60240.597944888541</v>
      </c>
      <c r="G95" s="68">
        <f t="shared" si="34"/>
        <v>76718</v>
      </c>
      <c r="H95" s="68">
        <f t="shared" si="34"/>
        <v>96094</v>
      </c>
      <c r="I95" s="68">
        <f t="shared" ref="I95" si="35">I16+I8*I93</f>
        <v>0</v>
      </c>
      <c r="J95" s="68">
        <f t="shared" si="34"/>
        <v>0</v>
      </c>
      <c r="K95" s="68">
        <f t="shared" si="34"/>
        <v>0</v>
      </c>
      <c r="L95" s="69">
        <f t="shared" si="34"/>
        <v>165546</v>
      </c>
      <c r="M95" s="9"/>
      <c r="N95" s="5"/>
      <c r="O95" s="5"/>
      <c r="P95" s="5"/>
      <c r="Q95" s="5"/>
    </row>
    <row r="96" spans="1:17" customFormat="1" ht="16" thickBot="1" x14ac:dyDescent="0.25">
      <c r="A96" s="5"/>
      <c r="B96" s="5"/>
      <c r="C96" s="5"/>
      <c r="D96" s="5"/>
      <c r="E96" s="30" t="s">
        <v>60</v>
      </c>
      <c r="F96" s="31">
        <f t="shared" ref="F96:L96" si="36">F15+F93</f>
        <v>1255.0124571851779</v>
      </c>
      <c r="G96" s="31">
        <f t="shared" si="36"/>
        <v>1598.2916666666667</v>
      </c>
      <c r="H96" s="31">
        <f t="shared" si="36"/>
        <v>2001.9583333333333</v>
      </c>
      <c r="I96" s="31">
        <f t="shared" ref="I96" si="37">I15+I93</f>
        <v>0</v>
      </c>
      <c r="J96" s="31">
        <f t="shared" si="36"/>
        <v>0</v>
      </c>
      <c r="K96" s="31">
        <f t="shared" si="36"/>
        <v>0</v>
      </c>
      <c r="L96" s="32">
        <f t="shared" si="36"/>
        <v>4598.5</v>
      </c>
      <c r="M96" s="9"/>
      <c r="N96" s="5"/>
      <c r="O96" s="5"/>
      <c r="P96" s="5"/>
      <c r="Q96" s="5"/>
    </row>
    <row r="97" spans="1:17" customFormat="1" x14ac:dyDescent="0.2">
      <c r="A97" s="5"/>
      <c r="B97" s="5"/>
      <c r="C97" s="5"/>
      <c r="D97" s="5"/>
      <c r="E97" s="5"/>
      <c r="F97" s="23"/>
      <c r="G97" s="23"/>
      <c r="H97" s="23"/>
      <c r="I97" s="23"/>
      <c r="J97" s="23"/>
      <c r="K97" s="23"/>
      <c r="L97" s="23"/>
      <c r="M97" s="9"/>
      <c r="N97" s="5"/>
      <c r="O97" s="5"/>
      <c r="P97" s="5"/>
      <c r="Q97" s="5"/>
    </row>
    <row r="98" spans="1:17" customFormat="1" x14ac:dyDescent="0.2">
      <c r="A98" s="5"/>
      <c r="B98" s="5"/>
      <c r="C98" s="5"/>
      <c r="D98" s="5"/>
      <c r="E98" s="5"/>
      <c r="F98" s="23"/>
      <c r="G98" s="23"/>
      <c r="H98" s="23"/>
      <c r="I98" s="23"/>
      <c r="J98" s="23"/>
      <c r="K98" s="23"/>
      <c r="L98" s="23"/>
      <c r="M98" s="9"/>
      <c r="N98" s="5"/>
      <c r="O98" s="5"/>
      <c r="P98" s="5"/>
      <c r="Q98" s="5"/>
    </row>
    <row r="99" spans="1:17" customFormat="1" x14ac:dyDescent="0.2">
      <c r="A99" s="57"/>
      <c r="B99" s="57"/>
      <c r="C99" s="57"/>
      <c r="D99" s="57"/>
      <c r="E99" s="57"/>
      <c r="F99" s="57" t="str">
        <f>COLUMNS($F7:F7) &amp;". "&amp;F7 &amp; " (" &amp;F8&amp;"/"&amp;F9 &amp;")"</f>
        <v>1. Audi A4 B6 (2001)_x000D_2.0 LPG (48/120000)</v>
      </c>
      <c r="G99" s="57" t="str">
        <f>COLUMNS($F7:G7) &amp;". "&amp;G7 &amp; " (" &amp;G8&amp;"/"&amp;G9 &amp;")"</f>
        <v>2. Peugeot 301 (2015)_x000D_1.6 LPG (48/120000)</v>
      </c>
      <c r="H99" s="57" t="str">
        <f>COLUMNS($F7:H7) &amp;". "&amp;H7 &amp; " (" &amp;H8&amp;"/"&amp;H9 &amp;")"</f>
        <v>3. Opel Corsa E (2018)_x000D_1.4 LPG (48/120000)</v>
      </c>
      <c r="I99" s="57" t="str">
        <f>COLUMNS($F7:I7) &amp;". "&amp;I7 &amp; " (" &amp;I8&amp;"/"&amp;I9 &amp;")"</f>
        <v>4.  (12/0)</v>
      </c>
      <c r="J99" s="57" t="str">
        <f>COLUMNS($F7:J7) &amp;". "&amp;J7 &amp; " (" &amp;J8&amp;"/"&amp;J9 &amp;")"</f>
        <v>5.  (12/0)</v>
      </c>
      <c r="K99" s="57" t="str">
        <f>COLUMNS($F7:K7) &amp;". "&amp;K7 &amp; " (" &amp;K8&amp;"/"&amp;K9 &amp;")"</f>
        <v>6.  (12/0)</v>
      </c>
      <c r="L99" s="57" t="str">
        <f>COLUMNS($F7:L7) &amp;". "&amp;L7 &amp; " (" &amp;L8&amp;"/"&amp;L9 &amp;")"</f>
        <v>7. Ford Mustang (2018)_x000D_5.0 V8 PB (36/45000)</v>
      </c>
      <c r="M99" s="66"/>
      <c r="N99" s="57"/>
      <c r="O99" s="57"/>
      <c r="P99" s="57"/>
      <c r="Q99" s="5"/>
    </row>
    <row r="101" spans="1:17" ht="15" customHeight="1" x14ac:dyDescent="0.2">
      <c r="E101" s="140" t="s">
        <v>99</v>
      </c>
      <c r="F101" s="141"/>
      <c r="G101" s="141"/>
      <c r="H101" s="141"/>
      <c r="I101" s="142"/>
    </row>
    <row r="102" spans="1:17" x14ac:dyDescent="0.2">
      <c r="E102" s="143"/>
      <c r="F102" s="144"/>
      <c r="G102" s="144"/>
      <c r="H102" s="144"/>
      <c r="I102" s="145"/>
    </row>
    <row r="103" spans="1:17" x14ac:dyDescent="0.2">
      <c r="F103" s="150" t="s">
        <v>96</v>
      </c>
      <c r="G103" s="151"/>
      <c r="H103" s="152" t="s">
        <v>97</v>
      </c>
      <c r="I103" s="152"/>
    </row>
    <row r="104" spans="1:17" x14ac:dyDescent="0.2">
      <c r="E104" s="106" t="s">
        <v>73</v>
      </c>
      <c r="F104" s="138" t="s">
        <v>106</v>
      </c>
      <c r="G104" s="139"/>
      <c r="H104" s="138" t="s">
        <v>81</v>
      </c>
      <c r="I104" s="139"/>
      <c r="J104" s="56" t="s">
        <v>40</v>
      </c>
      <c r="M104" s="56" t="s">
        <v>40</v>
      </c>
      <c r="N104" s="20"/>
      <c r="O104" s="20"/>
    </row>
    <row r="105" spans="1:17" x14ac:dyDescent="0.2">
      <c r="E105" s="106" t="s">
        <v>74</v>
      </c>
      <c r="F105" s="138"/>
      <c r="G105" s="139"/>
      <c r="H105" s="138"/>
      <c r="I105" s="139"/>
      <c r="J105" s="56" t="s">
        <v>40</v>
      </c>
      <c r="M105" s="56" t="s">
        <v>40</v>
      </c>
      <c r="N105" s="20"/>
      <c r="O105" s="20"/>
    </row>
    <row r="106" spans="1:17" x14ac:dyDescent="0.2">
      <c r="E106" s="106" t="s">
        <v>75</v>
      </c>
      <c r="F106" s="138"/>
      <c r="G106" s="139"/>
      <c r="H106" s="138"/>
      <c r="I106" s="139"/>
      <c r="J106" s="56" t="s">
        <v>40</v>
      </c>
      <c r="M106" s="56" t="s">
        <v>40</v>
      </c>
      <c r="N106" s="20"/>
      <c r="O106" s="20"/>
    </row>
    <row r="107" spans="1:17" x14ac:dyDescent="0.2">
      <c r="E107" s="107" t="s">
        <v>27</v>
      </c>
      <c r="F107" s="136">
        <f t="array" ref="F107">SUMPRODUCT(N(($F$99:$L$99)=(F$104:F$106))*($F8:$L8))</f>
        <v>48</v>
      </c>
      <c r="G107" s="137"/>
      <c r="H107" s="136">
        <f t="array" ref="H107">SUMPRODUCT(N(($F$99:$L$99)=(H$104:H$106))*($F8:$L8))</f>
        <v>48</v>
      </c>
      <c r="I107" s="137"/>
    </row>
    <row r="108" spans="1:17" x14ac:dyDescent="0.2">
      <c r="E108" s="107" t="s">
        <v>28</v>
      </c>
      <c r="F108" s="148">
        <f t="array" ref="F108">SUMPRODUCT(N(($F$99:$L$99)=(F$104:F$106))*($F9:$L9))</f>
        <v>120000</v>
      </c>
      <c r="G108" s="149"/>
      <c r="H108" s="148">
        <f t="array" ref="H108">SUMPRODUCT(N(($F$99:$L$99)=(H$104:H$106))*($F9:$L9))</f>
        <v>120000</v>
      </c>
      <c r="I108" s="149"/>
    </row>
    <row r="109" spans="1:17" x14ac:dyDescent="0.2">
      <c r="E109" s="108" t="s">
        <v>62</v>
      </c>
      <c r="F109" s="146">
        <f>SUMPRODUCT(N(($F$99:$L$99)=(F$104:F$106))*($F13:$L13))</f>
        <v>60481.999999999993</v>
      </c>
      <c r="G109" s="147"/>
      <c r="H109" s="146">
        <f>SUMPRODUCT(N(($F$99:$L$99)=(H$104:H$106))*($F13:$L13))</f>
        <v>58718</v>
      </c>
      <c r="I109" s="147"/>
    </row>
    <row r="110" spans="1:17" x14ac:dyDescent="0.2">
      <c r="E110" s="108" t="s">
        <v>70</v>
      </c>
      <c r="F110" s="156">
        <f>F109/F108</f>
        <v>0.50401666666666656</v>
      </c>
      <c r="G110" s="157"/>
      <c r="H110" s="156">
        <f>H109/H108</f>
        <v>0.48931666666666668</v>
      </c>
      <c r="I110" s="157"/>
    </row>
    <row r="111" spans="1:17" x14ac:dyDescent="0.2">
      <c r="E111" s="107" t="s">
        <v>71</v>
      </c>
      <c r="F111" s="158">
        <f>F109/F107</f>
        <v>1260.0416666666665</v>
      </c>
      <c r="G111" s="159"/>
      <c r="H111" s="158">
        <f>H109/H107</f>
        <v>1223.2916666666667</v>
      </c>
      <c r="I111" s="159"/>
    </row>
    <row r="112" spans="1:17" x14ac:dyDescent="0.2">
      <c r="E112" s="78" t="s">
        <v>98</v>
      </c>
      <c r="F112" s="155">
        <f ca="1">IF(AND(F107=H107,F108=H108),IF((G128-G127)-(I128-I127)&lt;0,(G128-G127)-(I128-I127),0),"nieporównywalne")</f>
        <v>-2095.8293034285161</v>
      </c>
      <c r="G112" s="155"/>
      <c r="H112" s="155">
        <f ca="1">IF(AND(F107=H107,F108=H108),IF((G128-G127)-(I128-I127)&gt;0,(G128-G127)-(I128-I127),0),"nieporównywalne")</f>
        <v>0</v>
      </c>
      <c r="I112" s="155"/>
    </row>
    <row r="113" spans="5:9" x14ac:dyDescent="0.2">
      <c r="E113" s="109" t="s">
        <v>95</v>
      </c>
      <c r="F113" s="153">
        <f ca="1">IF(ISNUMBER(F112),F109+F112,"")</f>
        <v>58386.170696571477</v>
      </c>
      <c r="G113" s="154"/>
      <c r="H113" s="153">
        <f ca="1">IF(ISNUMBER(H112),H109-H112,"")</f>
        <v>58718</v>
      </c>
      <c r="I113" s="154"/>
    </row>
    <row r="114" spans="5:9" x14ac:dyDescent="0.2">
      <c r="I114" s="79">
        <f ca="1">IFERROR(H113-F113,"")</f>
        <v>331.82930342852342</v>
      </c>
    </row>
    <row r="117" spans="5:9" x14ac:dyDescent="0.2">
      <c r="E117" s="106" t="s">
        <v>92</v>
      </c>
      <c r="F117" s="106">
        <f ca="1">IFERROR(INDEX($F$8:$L$8,MATCH(OFFSET(F$104,ROUNDDOWN(ROWS(F$117:F117)/4,0),0),$F$99:$L$99,0)),0)</f>
        <v>48</v>
      </c>
      <c r="G117" s="106"/>
      <c r="H117" s="106">
        <f ca="1">IFERROR(INDEX($F$8:$L$8,MATCH(OFFSET(H$104,ROUNDDOWN(ROWS(H$117:H117)/4,0),0),$F$99:$L$99,0)),0)</f>
        <v>48</v>
      </c>
      <c r="I117" s="106"/>
    </row>
    <row r="118" spans="5:9" x14ac:dyDescent="0.2">
      <c r="E118" s="106" t="s">
        <v>82</v>
      </c>
      <c r="F118" s="106">
        <f ca="1">IFERROR(INDEX($F$34:$L$34,MATCH(OFFSET(F$104,ROUNDDOWN(ROWS(F$117:F117)/4,0),0),$F$99:$L$99,0)),0)</f>
        <v>6000</v>
      </c>
      <c r="G118" s="106"/>
      <c r="H118" s="106">
        <f ca="1">IFERROR(INDEX($F$34:$L$34,MATCH(OFFSET(H$104,ROUNDDOWN(ROWS(H$117:H117)/4,0),0),$F$99:$L$99,0)),0)</f>
        <v>34180</v>
      </c>
      <c r="I118" s="106"/>
    </row>
    <row r="119" spans="5:9" x14ac:dyDescent="0.2">
      <c r="E119" s="106" t="s">
        <v>83</v>
      </c>
      <c r="F119" s="106">
        <f ca="1">IFERROR(ROUND((INDEX($F$16:$L$16,MATCH(OFFSET(F$104,ROUNDDOWN(ROWS(F$117:F117)/4,0),0),$F$99:$L$99,0))-F118-F120)/F117,2),0)</f>
        <v>1010.04</v>
      </c>
      <c r="G119" s="106">
        <f ca="1">F117*F119+F118+F120+IF(ROUNDDOWN(ROWS(F$117:F117)/4,0)=0,0,G115)</f>
        <v>54481.919999999998</v>
      </c>
      <c r="H119" s="106">
        <f ca="1">IFERROR(ROUND((INDEX($F$16:$L$16,MATCH(OFFSET(H$104,ROUNDDOWN(ROWS(H$117:H117)/4,0),0),$F$99:$L$99,0))-H118-H120)/H117,2),0)</f>
        <v>886.21</v>
      </c>
      <c r="I119" s="106">
        <f ca="1">H117*H119+H118+H120+IF(ROUNDDOWN(ROWS(H$117:H117)/4,0)=0,0,I115)</f>
        <v>76718.080000000002</v>
      </c>
    </row>
    <row r="120" spans="5:9" x14ac:dyDescent="0.2">
      <c r="E120" s="106" t="s">
        <v>84</v>
      </c>
      <c r="F120" s="106">
        <f ca="1">IFERROR(INDEX($F$77:$L$77,MATCH(OFFSET(F$104,ROUNDDOWN(ROWS(F$117:F117)/4,0),0),$F$99:$L$99,0)),0)</f>
        <v>0</v>
      </c>
      <c r="G120" s="110">
        <f ca="1">FV($C$9/12,F117,-F119,-F118-IF(ROUNDDOWN(ROWS(F$117:F117)/4,0)=0,0,G116),1)+F120</f>
        <v>57013.585389731059</v>
      </c>
      <c r="H120" s="106">
        <f ca="1">IFERROR(INDEX($F$77:$L$77,MATCH(OFFSET(H$104,ROUNDDOWN(ROWS(H$117:H117)/4,0),0),$F$99:$L$99,0)),0)</f>
        <v>0</v>
      </c>
      <c r="I120" s="110">
        <f ca="1">FV($C$9/12,H117,-H119,-H118-IF(ROUNDDOWN(ROWS(H$117:H117)/4,0)=0,0,I116),1)+H120</f>
        <v>81345.574693159579</v>
      </c>
    </row>
    <row r="121" spans="5:9" x14ac:dyDescent="0.2">
      <c r="E121" s="106" t="s">
        <v>93</v>
      </c>
      <c r="F121" s="106">
        <f ca="1">IFERROR(INDEX($F$8:$L$8,MATCH(OFFSET(F$104,ROUNDDOWN(ROWS(F$117:F121)/4,0),0),$F$99:$L$99,0)),0)</f>
        <v>0</v>
      </c>
      <c r="G121" s="106"/>
      <c r="H121" s="106">
        <f ca="1">IFERROR(INDEX($F$8:$L$8,MATCH(OFFSET(H$104,ROUNDDOWN(ROWS(H$117:H121)/4,0),0),$F$99:$L$99,0)),0)</f>
        <v>0</v>
      </c>
      <c r="I121" s="110">
        <f ca="1">(G120-G119)-(I120-I119)</f>
        <v>-2095.8293034285161</v>
      </c>
    </row>
    <row r="122" spans="5:9" x14ac:dyDescent="0.2">
      <c r="E122" s="106" t="s">
        <v>85</v>
      </c>
      <c r="F122" s="106">
        <f ca="1">IFERROR(INDEX($F$34:$L$34,MATCH(OFFSET(F$104,ROUNDDOWN(ROWS(F$117:F121)/4,0),0),$F$99:$L$99,0)),0)</f>
        <v>0</v>
      </c>
      <c r="G122" s="106"/>
      <c r="H122" s="106">
        <f ca="1">IFERROR(INDEX($F$34:$L$34,MATCH(OFFSET(H$104,ROUNDDOWN(ROWS(H$117:H121)/4,0),0),$F$99:$L$99,0)),0)</f>
        <v>0</v>
      </c>
      <c r="I122" s="106"/>
    </row>
    <row r="123" spans="5:9" x14ac:dyDescent="0.2">
      <c r="E123" s="106" t="s">
        <v>86</v>
      </c>
      <c r="F123" s="106">
        <f ca="1">IFERROR(ROUND((INDEX($F$16:$L$16,MATCH(OFFSET(F$104,ROUNDDOWN(ROWS(F$117:F121)/4,0),0),$F$99:$L$99,0))-F122-F124)/F121,2),0)</f>
        <v>0</v>
      </c>
      <c r="G123" s="106">
        <f ca="1">F121*F123+F122+F124+IF(ROUNDDOWN(ROWS(F$117:F121)/4,0)=0,0,G119)</f>
        <v>54481.919999999998</v>
      </c>
      <c r="H123" s="106">
        <f ca="1">IFERROR(ROUND((INDEX($F$16:$L$16,MATCH(OFFSET(H$104,ROUNDDOWN(ROWS(H$117:H121)/4,0),0),$F$99:$L$99,0))-H122-H124)/H121,2),0)</f>
        <v>0</v>
      </c>
      <c r="I123" s="106">
        <f ca="1">H121*H123+H122+H124+IF(ROUNDDOWN(ROWS(H$117:H121)/4,0)=0,0,I119)</f>
        <v>76718.080000000002</v>
      </c>
    </row>
    <row r="124" spans="5:9" x14ac:dyDescent="0.2">
      <c r="E124" s="106" t="s">
        <v>87</v>
      </c>
      <c r="F124" s="106">
        <f ca="1">IFERROR(INDEX($F$77:$L$77,MATCH(OFFSET(F$104,ROUNDDOWN(ROWS(F$117:F121)/4,0),0),$F$99:$L$99,0)),0)</f>
        <v>0</v>
      </c>
      <c r="G124" s="110">
        <f ca="1">FV($C$9/12,F121,-F123,-F122-IF(ROUNDDOWN(ROWS(F$117:F121)/4,0)=0,0,G120),1)+F124</f>
        <v>57013.585389731059</v>
      </c>
      <c r="H124" s="106">
        <f ca="1">IFERROR(INDEX($F$77:$L$77,MATCH(OFFSET(H$104,ROUNDDOWN(ROWS(H$117:H121)/4,0),0),$F$99:$L$99,0)),0)</f>
        <v>0</v>
      </c>
      <c r="I124" s="110">
        <f ca="1">FV($C$9/12,H121,-H123,-H122-IF(ROUNDDOWN(ROWS(H$117:H121)/4,0)=0,0,I120),1)+H124</f>
        <v>81345.574693159579</v>
      </c>
    </row>
    <row r="125" spans="5:9" x14ac:dyDescent="0.2">
      <c r="E125" s="106" t="s">
        <v>94</v>
      </c>
      <c r="F125" s="106">
        <f ca="1">IFERROR(INDEX($F$8:$L$8,MATCH(OFFSET(F$104,ROUNDDOWN(ROWS(F$117:F125)/4,0),0),$F$99:$L$99,0)),0)</f>
        <v>0</v>
      </c>
      <c r="G125" s="106"/>
      <c r="H125" s="106">
        <f ca="1">IFERROR(INDEX($F$8:$L$8,MATCH(OFFSET(H$104,ROUNDDOWN(ROWS(H$117:H125)/4,0),0),$F$99:$L$99,0)),0)</f>
        <v>0</v>
      </c>
      <c r="I125" s="110">
        <f ca="1">(G124-G123)-(I124-I123)</f>
        <v>-2095.8293034285161</v>
      </c>
    </row>
    <row r="126" spans="5:9" x14ac:dyDescent="0.2">
      <c r="E126" s="106" t="s">
        <v>88</v>
      </c>
      <c r="F126" s="106">
        <f ca="1">IFERROR(INDEX($F$34:$L$34,MATCH(OFFSET(F$104,ROUNDDOWN(ROWS(F$117:F125)/4,0),0),$F$99:$L$99,0)),0)</f>
        <v>0</v>
      </c>
      <c r="G126" s="106"/>
      <c r="H126" s="106">
        <f ca="1">IFERROR(INDEX($F$34:$L$34,MATCH(OFFSET(H$104,ROUNDDOWN(ROWS(H$117:H125)/4,0),0),$F$99:$L$99,0)),0)</f>
        <v>0</v>
      </c>
      <c r="I126" s="106"/>
    </row>
    <row r="127" spans="5:9" x14ac:dyDescent="0.2">
      <c r="E127" s="106" t="s">
        <v>89</v>
      </c>
      <c r="F127" s="106">
        <f ca="1">IFERROR(ROUND((INDEX($F$16:$L$16,MATCH(OFFSET(F$104,ROUNDDOWN(ROWS(F$117:F125)/4,0),0),$F$99:$L$99,0))-F126-F128)/F125,2),0)</f>
        <v>0</v>
      </c>
      <c r="G127" s="106">
        <f ca="1">F125*F127+F126+F128+IF(ROUNDDOWN(ROWS(F$117:F125)/4,0)=0,0,G123)</f>
        <v>54481.919999999998</v>
      </c>
      <c r="H127" s="106">
        <f ca="1">IFERROR(ROUND((INDEX($F$16:$L$16,MATCH(OFFSET(H$104,ROUNDDOWN(ROWS(H$117:H125)/4,0),0),$F$99:$L$99,0))-H126-H128)/H125,2),0)</f>
        <v>0</v>
      </c>
      <c r="I127" s="106">
        <f ca="1">H125*H127+H126+H128+IF(ROUNDDOWN(ROWS(H$117:H125)/4,0)=0,0,I123)</f>
        <v>76718.080000000002</v>
      </c>
    </row>
    <row r="128" spans="5:9" x14ac:dyDescent="0.2">
      <c r="E128" s="106" t="s">
        <v>90</v>
      </c>
      <c r="F128" s="106">
        <f ca="1">IFERROR(INDEX($F$77:$L$77,MATCH(OFFSET(F$104,ROUNDDOWN(ROWS(F$117:F125)/4,0),0),$F$99:$L$99,0)),0)</f>
        <v>0</v>
      </c>
      <c r="G128" s="110">
        <f ca="1">FV($C$9/12,F125,-F127,-F126-IF(ROUNDDOWN(ROWS(F$117:F125)/4,0)=0,0,G124),1)+F128</f>
        <v>57013.585389731059</v>
      </c>
      <c r="H128" s="106">
        <f ca="1">IFERROR(INDEX($F$77:$L$77,MATCH(OFFSET(H$104,ROUNDDOWN(ROWS(H$117:H125)/4,0),0),$F$99:$L$99,0)),0)</f>
        <v>0</v>
      </c>
      <c r="I128" s="110">
        <f ca="1">FV($C$9/12,H125,-H127,-H126-IF(ROUNDDOWN(ROWS(H$117:H125)/4,0)=0,0,I124),1)+H128</f>
        <v>81345.574693159579</v>
      </c>
    </row>
    <row r="129" spans="1:9" x14ac:dyDescent="0.2">
      <c r="E129" s="106"/>
      <c r="F129" s="106"/>
      <c r="G129" s="106"/>
      <c r="H129" s="106"/>
      <c r="I129" s="110">
        <f ca="1">(G128-G127)-(I128-I127)</f>
        <v>-2095.8293034285161</v>
      </c>
    </row>
    <row r="132" spans="1:9" x14ac:dyDescent="0.2">
      <c r="A132" s="121"/>
    </row>
  </sheetData>
  <dataConsolidate/>
  <mergeCells count="26">
    <mergeCell ref="F113:G113"/>
    <mergeCell ref="H113:I113"/>
    <mergeCell ref="F112:G112"/>
    <mergeCell ref="F110:G110"/>
    <mergeCell ref="H112:I112"/>
    <mergeCell ref="H110:I110"/>
    <mergeCell ref="H111:I111"/>
    <mergeCell ref="F111:G111"/>
    <mergeCell ref="H109:I109"/>
    <mergeCell ref="H108:I108"/>
    <mergeCell ref="F103:G103"/>
    <mergeCell ref="H103:I103"/>
    <mergeCell ref="F107:G107"/>
    <mergeCell ref="F108:G108"/>
    <mergeCell ref="F109:G109"/>
    <mergeCell ref="B3:E3"/>
    <mergeCell ref="B11:C11"/>
    <mergeCell ref="B8:C8"/>
    <mergeCell ref="H107:I107"/>
    <mergeCell ref="F104:G104"/>
    <mergeCell ref="F105:G105"/>
    <mergeCell ref="F106:G106"/>
    <mergeCell ref="H104:I104"/>
    <mergeCell ref="H105:I105"/>
    <mergeCell ref="H106:I106"/>
    <mergeCell ref="E101:I102"/>
  </mergeCells>
  <conditionalFormatting sqref="F13:G13 F82:H96 K82:L96 L13 F34:G81 L34:L81">
    <cfRule type="cellIs" dxfId="24" priority="70" operator="equal">
      <formula>0</formula>
    </cfRule>
  </conditionalFormatting>
  <conditionalFormatting sqref="F112:I113 I114 F107:I108">
    <cfRule type="expression" dxfId="23" priority="27">
      <formula>OR($F$107&lt;&gt;$H$107,$F$108&lt;&gt;$H$108)</formula>
    </cfRule>
  </conditionalFormatting>
  <conditionalFormatting sqref="F93:H94 F14:G15 L8:L9 K93:L94 L11:L12 F8:J9 I14:L15">
    <cfRule type="expression" dxfId="22" priority="102">
      <formula>F$8&lt;F$48</formula>
    </cfRule>
  </conditionalFormatting>
  <conditionalFormatting sqref="F11:G12">
    <cfRule type="expression" dxfId="21" priority="26">
      <formula>F$8&lt;F$48</formula>
    </cfRule>
  </conditionalFormatting>
  <conditionalFormatting sqref="F85:H86 K85:L86">
    <cfRule type="expression" dxfId="20" priority="24">
      <formula>COUNTIF(F$85:F$86,"&gt;"&amp;0)=2</formula>
    </cfRule>
  </conditionalFormatting>
  <conditionalFormatting sqref="J13 J34:J96">
    <cfRule type="cellIs" dxfId="19" priority="22" operator="equal">
      <formula>0</formula>
    </cfRule>
  </conditionalFormatting>
  <conditionalFormatting sqref="J93:J94">
    <cfRule type="expression" dxfId="18" priority="23">
      <formula>J$8&lt;J$48</formula>
    </cfRule>
  </conditionalFormatting>
  <conditionalFormatting sqref="J11:J12">
    <cfRule type="expression" dxfId="17" priority="21">
      <formula>J$8&lt;J$48</formula>
    </cfRule>
  </conditionalFormatting>
  <conditionalFormatting sqref="J85:J86">
    <cfRule type="expression" dxfId="16" priority="20">
      <formula>COUNTIF(J$85:J$86,"&gt;"&amp;0)=2</formula>
    </cfRule>
  </conditionalFormatting>
  <conditionalFormatting sqref="H34:H81 H13">
    <cfRule type="cellIs" dxfId="15" priority="18" operator="equal">
      <formula>0</formula>
    </cfRule>
  </conditionalFormatting>
  <conditionalFormatting sqref="H14:H15">
    <cfRule type="expression" dxfId="14" priority="19">
      <formula>H$8&lt;H$48</formula>
    </cfRule>
  </conditionalFormatting>
  <conditionalFormatting sqref="H11:H12">
    <cfRule type="expression" dxfId="13" priority="17">
      <formula>H$8&lt;H$48</formula>
    </cfRule>
  </conditionalFormatting>
  <conditionalFormatting sqref="I11:I12">
    <cfRule type="expression" dxfId="12" priority="7">
      <formula>I$8&lt;I$48</formula>
    </cfRule>
  </conditionalFormatting>
  <conditionalFormatting sqref="K13 K34:K81">
    <cfRule type="cellIs" dxfId="11" priority="12" operator="equal">
      <formula>0</formula>
    </cfRule>
  </conditionalFormatting>
  <conditionalFormatting sqref="K8:K9">
    <cfRule type="expression" dxfId="10" priority="13">
      <formula>K$8&lt;K$48</formula>
    </cfRule>
  </conditionalFormatting>
  <conditionalFormatting sqref="K11:K12">
    <cfRule type="expression" dxfId="9" priority="11">
      <formula>K$8&lt;K$48</formula>
    </cfRule>
  </conditionalFormatting>
  <conditionalFormatting sqref="F113">
    <cfRule type="expression" dxfId="8" priority="10">
      <formula>OR($F$107&lt;&gt;$H$107,$F$108&lt;&gt;$H$108)</formula>
    </cfRule>
  </conditionalFormatting>
  <conditionalFormatting sqref="I13 I34:I96">
    <cfRule type="cellIs" dxfId="7" priority="8" operator="equal">
      <formula>0</formula>
    </cfRule>
  </conditionalFormatting>
  <conditionalFormatting sqref="I93:I94">
    <cfRule type="expression" dxfId="6" priority="9">
      <formula>I$8&lt;I$48</formula>
    </cfRule>
  </conditionalFormatting>
  <conditionalFormatting sqref="I85:I86">
    <cfRule type="expression" dxfId="5" priority="6">
      <formula>COUNTIF(I$85:I$86,"&gt;"&amp;0)=2</formula>
    </cfRule>
  </conditionalFormatting>
  <conditionalFormatting sqref="F10:G10 L10">
    <cfRule type="cellIs" dxfId="4" priority="5" operator="equal">
      <formula>0</formula>
    </cfRule>
  </conditionalFormatting>
  <conditionalFormatting sqref="J10">
    <cfRule type="cellIs" dxfId="3" priority="4" operator="equal">
      <formula>0</formula>
    </cfRule>
  </conditionalFormatting>
  <conditionalFormatting sqref="H10">
    <cfRule type="cellIs" dxfId="2" priority="3" operator="equal">
      <formula>0</formula>
    </cfRule>
  </conditionalFormatting>
  <conditionalFormatting sqref="K10">
    <cfRule type="cellIs" dxfId="1" priority="2" operator="equal">
      <formula>0</formula>
    </cfRule>
  </conditionalFormatting>
  <conditionalFormatting sqref="I10">
    <cfRule type="cellIs" dxfId="0" priority="1" operator="equal">
      <formula>0</formula>
    </cfRule>
  </conditionalFormatting>
  <dataValidations count="4">
    <dataValidation type="whole" allowBlank="1" showInputMessage="1" showErrorMessage="1" errorTitle="Blokada" error="Ilość rat nie może być większa niż okres użytkowania :)" sqref="F48:L48">
      <formula1>0</formula1>
      <formula2>F8</formula2>
    </dataValidation>
    <dataValidation type="whole" allowBlank="1" showInputMessage="1" showErrorMessage="1" errorTitle="Blokada" error="Dopuszczakny zakres: 1-180" sqref="F8:L8">
      <formula1>1</formula1>
      <formula2>180</formula2>
    </dataValidation>
    <dataValidation type="list" allowBlank="1" showInputMessage="1" showErrorMessage="1" sqref="F104:I106">
      <formula1>$E$99:$L$99</formula1>
    </dataValidation>
    <dataValidation type="whole" allowBlank="1" showInputMessage="1" showErrorMessage="1" sqref="F85:L87">
      <formula1>0</formula1>
      <formula2>100000000</formula2>
    </dataValidation>
  </dataValidations>
  <hyperlinks>
    <hyperlink ref="B3" r:id="rId1"/>
    <hyperlink ref="G3" r:id="rId2"/>
  </hyperlinks>
  <pageMargins left="0.7" right="0.7" top="0.75" bottom="0.75" header="0.3" footer="0.3"/>
  <pageSetup paperSize="9" orientation="portrait" horizontalDpi="0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Auto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eXtremeMem Marcin Kluczek</dc:creator>
  <cp:lastModifiedBy>Użytkownik Microsoft Office</cp:lastModifiedBy>
  <dcterms:created xsi:type="dcterms:W3CDTF">2018-01-20T16:48:05Z</dcterms:created>
  <dcterms:modified xsi:type="dcterms:W3CDTF">2018-05-29T18:20:46Z</dcterms:modified>
</cp:coreProperties>
</file>