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715"/>
  <workbookPr/>
  <mc:AlternateContent xmlns:mc="http://schemas.openxmlformats.org/markup-compatibility/2006">
    <mc:Choice Requires="x15">
      <x15ac:absPath xmlns:x15ac="http://schemas.microsoft.com/office/spreadsheetml/2010/11/ac" url="/Users/Andrzej/Desktop/"/>
    </mc:Choice>
  </mc:AlternateContent>
  <bookViews>
    <workbookView xWindow="0" yWindow="0" windowWidth="25600" windowHeight="16000"/>
  </bookViews>
  <sheets>
    <sheet name="Arkusz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C19" i="1"/>
  <c r="C26" i="1"/>
  <c r="C27" i="1"/>
  <c r="F6" i="1"/>
  <c r="G6" i="1"/>
  <c r="H6" i="1"/>
  <c r="I6" i="1"/>
  <c r="J6" i="1"/>
  <c r="K6" i="1"/>
  <c r="L6" i="1"/>
  <c r="M6" i="1"/>
  <c r="N6" i="1"/>
  <c r="O6" i="1"/>
  <c r="C8" i="1"/>
  <c r="C10" i="1"/>
  <c r="F5" i="1"/>
  <c r="G5" i="1"/>
  <c r="H5" i="1"/>
  <c r="I5" i="1"/>
  <c r="J5" i="1"/>
  <c r="K5" i="1"/>
  <c r="L5" i="1"/>
  <c r="M5" i="1"/>
  <c r="N5" i="1"/>
  <c r="O5" i="1"/>
  <c r="F22" i="1"/>
  <c r="G9" i="1"/>
  <c r="H9" i="1"/>
  <c r="I9" i="1"/>
  <c r="J9" i="1"/>
  <c r="K9" i="1"/>
  <c r="L9" i="1"/>
  <c r="M9" i="1"/>
  <c r="N9" i="1"/>
  <c r="O9" i="1"/>
  <c r="F9" i="1"/>
  <c r="G8" i="1"/>
  <c r="H8" i="1"/>
  <c r="I8" i="1"/>
  <c r="K8" i="1"/>
  <c r="L8" i="1"/>
  <c r="M8" i="1"/>
  <c r="N8" i="1"/>
  <c r="F8" i="1"/>
  <c r="H7" i="1"/>
  <c r="J7" i="1"/>
  <c r="L7" i="1"/>
  <c r="N7" i="1"/>
  <c r="F7" i="1"/>
  <c r="C40" i="1"/>
  <c r="J8" i="1"/>
  <c r="C32" i="1"/>
  <c r="C35" i="1"/>
  <c r="G7" i="1"/>
  <c r="G10" i="1"/>
  <c r="G11" i="1"/>
  <c r="G12" i="1"/>
  <c r="O8" i="1"/>
  <c r="M7" i="1"/>
  <c r="K7" i="1"/>
  <c r="I7" i="1"/>
  <c r="O7" i="1"/>
  <c r="F10" i="1"/>
  <c r="F11" i="1"/>
  <c r="F12" i="1"/>
  <c r="J10" i="1"/>
  <c r="I10" i="1"/>
  <c r="I11" i="1"/>
  <c r="I12" i="1"/>
  <c r="H10" i="1"/>
  <c r="H11" i="1"/>
  <c r="H12" i="1"/>
  <c r="J11" i="1"/>
  <c r="J12" i="1"/>
  <c r="K10" i="1"/>
  <c r="K11" i="1"/>
  <c r="L10" i="1"/>
  <c r="K12" i="1"/>
  <c r="M10" i="1"/>
  <c r="L11" i="1"/>
  <c r="L12" i="1"/>
  <c r="N10" i="1"/>
  <c r="O10" i="1"/>
  <c r="M11" i="1"/>
  <c r="M12" i="1"/>
  <c r="O11" i="1"/>
  <c r="O12" i="1"/>
  <c r="N11" i="1"/>
  <c r="N12" i="1"/>
  <c r="F25" i="1"/>
  <c r="F28" i="1"/>
  <c r="F32" i="1"/>
  <c r="F30" i="1"/>
  <c r="F31" i="1"/>
</calcChain>
</file>

<file path=xl/sharedStrings.xml><?xml version="1.0" encoding="utf-8"?>
<sst xmlns="http://schemas.openxmlformats.org/spreadsheetml/2006/main" count="66" uniqueCount="65">
  <si>
    <t>Czynsz płacony przez najemcę:</t>
  </si>
  <si>
    <t>Wpływy:</t>
  </si>
  <si>
    <t>Energia elektryczna:</t>
  </si>
  <si>
    <t>Opłaty administracyjne, zaliczki na media, fundusz remontowy:</t>
  </si>
  <si>
    <t>Telewizja kablowa/internet:</t>
  </si>
  <si>
    <t>Średnie roczne wpływy z najmu:</t>
  </si>
  <si>
    <t>Inne:</t>
  </si>
  <si>
    <t>Opłata za użytkowanie wieczyste gruntu:</t>
  </si>
  <si>
    <t>Podatek od nieruchomości:</t>
  </si>
  <si>
    <t>Przez ile miesięcy w roku mieszkanie będzie przeciętnie wynajęte?</t>
  </si>
  <si>
    <t>Zaliczka na podatek dochodowy:</t>
  </si>
  <si>
    <t>Inne wpływy (np. najem garażu)</t>
  </si>
  <si>
    <t>Ubezpieczenie OC</t>
  </si>
  <si>
    <t>Ubezpieczenie nieruchomości:</t>
  </si>
  <si>
    <t>Co ile lat zakładasz zmianę najemcy?</t>
  </si>
  <si>
    <t>Stawka prowizji dla agencji nieruchomości (bez VAT):</t>
  </si>
  <si>
    <t>Wysokośc prowizji dla agencji nieruchomości:</t>
  </si>
  <si>
    <t>Koszt malowania:</t>
  </si>
  <si>
    <t>Koszty drobnych napraw i sprzątania po zakończeniu najmu:</t>
  </si>
  <si>
    <t>Wymiana sprzętu:</t>
  </si>
  <si>
    <t>Co ile lat zakładasz wymianę sprzętu?</t>
  </si>
  <si>
    <t>Wydatki miesięczne:</t>
  </si>
  <si>
    <t>Łączne miesięczne wpływy z najmu:</t>
  </si>
  <si>
    <t>Dodatkowe roczne wydatki:</t>
  </si>
  <si>
    <t>Suma miesięcznych wydatków związanych z najmem:</t>
  </si>
  <si>
    <t>Wymiana lodówki:</t>
  </si>
  <si>
    <t>Wymiana zmywarki:</t>
  </si>
  <si>
    <t>Wymiana innego sprzętu:</t>
  </si>
  <si>
    <t>Zakładane Koszty remontu "generalnego"</t>
  </si>
  <si>
    <t>Suma dodatkowych rocznych wydatków związanych z najmem:</t>
  </si>
  <si>
    <t>Średnie roczne wydatki związane z wynajmem:</t>
  </si>
  <si>
    <t>Rok</t>
  </si>
  <si>
    <t>Wpływy</t>
  </si>
  <si>
    <t>Wydatki (bez zmiany najemców)</t>
  </si>
  <si>
    <t>Wydatki dotyczące wymiany najemcy i napraw:</t>
  </si>
  <si>
    <t>Łączny koszt wymiany najemcy:</t>
  </si>
  <si>
    <t>Łączny koszt wymiany sprzętu</t>
  </si>
  <si>
    <t>Co ile lat zakładasz remont "generalny"?</t>
  </si>
  <si>
    <t>Wydatki przy zmianie najemcy:</t>
  </si>
  <si>
    <t>Remont generalny:</t>
  </si>
  <si>
    <t>Razem wypływy:</t>
  </si>
  <si>
    <t>Gotówka netto:</t>
  </si>
  <si>
    <t>Analiza rentowności:</t>
  </si>
  <si>
    <t>Cena zakupu nieruchomości:</t>
  </si>
  <si>
    <t>Koszt wykończenia:</t>
  </si>
  <si>
    <t>Pozaodsetkowe koszty kredytu:</t>
  </si>
  <si>
    <t>Nominalny zysk/strata:</t>
  </si>
  <si>
    <t>Zakładana cena sprzedaży:</t>
  </si>
  <si>
    <t>Inne koszty początkowe</t>
  </si>
  <si>
    <t>Rata kredytu (odsetki+kapitał)</t>
  </si>
  <si>
    <t>Średnio na miesiąc w danym roku:</t>
  </si>
  <si>
    <t>Analiza przepływów generowanych przez nieruchomość:</t>
  </si>
  <si>
    <t>Zainwestowany kapitał własny:</t>
  </si>
  <si>
    <t>Dodatkowe koszty sprzedaży:</t>
  </si>
  <si>
    <t>Kwota udzielonego kredutu:</t>
  </si>
  <si>
    <t>Inwestycja na starcie:</t>
  </si>
  <si>
    <t>Przepływy z najmu i ze sprzedaży:</t>
  </si>
  <si>
    <t>Gotówka wygenerowana z najmu:</t>
  </si>
  <si>
    <t>Całkowita stopa zwrotu w okresie 10 lat:</t>
  </si>
  <si>
    <t>Średnia roczna stopa zwrotu w okresie 10 lat:</t>
  </si>
  <si>
    <t>Inne koszty pokrywane przez najemcę (np. zaliczki na media):</t>
  </si>
  <si>
    <r>
      <t xml:space="preserve">Więcej informacji znajdziesz na blogu </t>
    </r>
    <r>
      <rPr>
        <b/>
        <sz val="14"/>
        <color theme="1"/>
        <rFont val="Calibri"/>
        <family val="2"/>
        <charset val="238"/>
        <scheme val="minor"/>
      </rPr>
      <t>Finanse bardzo osobiste:</t>
    </r>
  </si>
  <si>
    <t>zakladana inflacja:</t>
  </si>
  <si>
    <t>Razem:</t>
  </si>
  <si>
    <t>http://marciniwuc.com/mieszkanie-na-wynajem-dobra-inwestycja/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</si>
</sst>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zł&quot;;[Red]\-#,##0\ &quot;zł&quot;"/>
    <numFmt numFmtId="165" formatCode="#,##0.00\ &quot;zł&quot;;[Red]\-#,##0.00\ &quot;zł&quot;"/>
    <numFmt numFmtId="166" formatCode="#,##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0" fillId="0" borderId="1" xfId="0" applyBorder="1"/>
    <xf numFmtId="0" fontId="4" fillId="3" borderId="0" xfId="0" applyFont="1" applyFill="1"/>
    <xf numFmtId="0" fontId="0" fillId="3" borderId="0" xfId="0" applyFill="1"/>
    <xf numFmtId="0" fontId="4" fillId="4" borderId="2" xfId="0" applyFont="1" applyFill="1" applyBorder="1"/>
    <xf numFmtId="0" fontId="0" fillId="4" borderId="3" xfId="0" applyFill="1" applyBorder="1"/>
    <xf numFmtId="0" fontId="0" fillId="0" borderId="4" xfId="0" applyBorder="1"/>
    <xf numFmtId="0" fontId="4" fillId="3" borderId="2" xfId="0" applyFont="1" applyFill="1" applyBorder="1"/>
    <xf numFmtId="0" fontId="0" fillId="3" borderId="3" xfId="0" applyFill="1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NumberFormat="1" applyBorder="1"/>
    <xf numFmtId="0" fontId="2" fillId="4" borderId="12" xfId="0" applyFont="1" applyFill="1" applyBorder="1"/>
    <xf numFmtId="0" fontId="2" fillId="2" borderId="4" xfId="0" applyFont="1" applyFill="1" applyBorder="1"/>
    <xf numFmtId="0" fontId="0" fillId="2" borderId="8" xfId="0" applyFill="1" applyBorder="1"/>
    <xf numFmtId="0" fontId="0" fillId="2" borderId="1" xfId="0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0" fontId="4" fillId="3" borderId="8" xfId="0" applyFont="1" applyFill="1" applyBorder="1"/>
    <xf numFmtId="0" fontId="0" fillId="3" borderId="14" xfId="0" applyFill="1" applyBorder="1"/>
    <xf numFmtId="0" fontId="2" fillId="3" borderId="6" xfId="0" applyFont="1" applyFill="1" applyBorder="1"/>
    <xf numFmtId="0" fontId="0" fillId="0" borderId="15" xfId="0" applyBorder="1"/>
    <xf numFmtId="0" fontId="0" fillId="0" borderId="16" xfId="0" applyNumberFormat="1" applyBorder="1"/>
    <xf numFmtId="9" fontId="0" fillId="0" borderId="5" xfId="0" applyNumberFormat="1" applyBorder="1"/>
    <xf numFmtId="0" fontId="0" fillId="5" borderId="4" xfId="0" applyFill="1" applyBorder="1"/>
    <xf numFmtId="0" fontId="2" fillId="2" borderId="6" xfId="0" applyFont="1" applyFill="1" applyBorder="1"/>
    <xf numFmtId="0" fontId="0" fillId="0" borderId="17" xfId="0" applyBorder="1"/>
    <xf numFmtId="0" fontId="2" fillId="0" borderId="6" xfId="0" applyFont="1" applyBorder="1"/>
    <xf numFmtId="0" fontId="0" fillId="2" borderId="2" xfId="0" applyFill="1" applyBorder="1"/>
    <xf numFmtId="0" fontId="0" fillId="2" borderId="18" xfId="0" applyFill="1" applyBorder="1"/>
    <xf numFmtId="0" fontId="0" fillId="2" borderId="3" xfId="0" applyFill="1" applyBorder="1"/>
    <xf numFmtId="0" fontId="0" fillId="4" borderId="8" xfId="0" applyFill="1" applyBorder="1"/>
    <xf numFmtId="0" fontId="0" fillId="3" borderId="8" xfId="0" applyFill="1" applyBorder="1"/>
    <xf numFmtId="164" fontId="0" fillId="0" borderId="5" xfId="0" applyNumberFormat="1" applyBorder="1"/>
    <xf numFmtId="164" fontId="0" fillId="2" borderId="5" xfId="0" applyNumberFormat="1" applyFill="1" applyBorder="1"/>
    <xf numFmtId="164" fontId="3" fillId="4" borderId="13" xfId="0" applyNumberFormat="1" applyFont="1" applyFill="1" applyBorder="1"/>
    <xf numFmtId="164" fontId="0" fillId="0" borderId="5" xfId="0" applyNumberFormat="1" applyFill="1" applyBorder="1"/>
    <xf numFmtId="164" fontId="0" fillId="0" borderId="11" xfId="0" applyNumberFormat="1" applyFill="1" applyBorder="1"/>
    <xf numFmtId="164" fontId="2" fillId="3" borderId="7" xfId="0" applyNumberFormat="1" applyFont="1" applyFill="1" applyBorder="1"/>
    <xf numFmtId="164" fontId="2" fillId="2" borderId="7" xfId="0" applyNumberFormat="1" applyFont="1" applyFill="1" applyBorder="1"/>
    <xf numFmtId="164" fontId="0" fillId="4" borderId="0" xfId="0" applyNumberFormat="1" applyFill="1" applyBorder="1"/>
    <xf numFmtId="164" fontId="0" fillId="0" borderId="0" xfId="0" applyNumberFormat="1" applyBorder="1"/>
    <xf numFmtId="164" fontId="0" fillId="0" borderId="14" xfId="0" applyNumberFormat="1" applyBorder="1"/>
    <xf numFmtId="164" fontId="0" fillId="3" borderId="0" xfId="0" applyNumberFormat="1" applyFill="1" applyBorder="1"/>
    <xf numFmtId="164" fontId="0" fillId="3" borderId="14" xfId="0" applyNumberFormat="1" applyFill="1" applyBorder="1"/>
    <xf numFmtId="164" fontId="2" fillId="0" borderId="19" xfId="0" applyNumberFormat="1" applyFont="1" applyBorder="1"/>
    <xf numFmtId="164" fontId="2" fillId="0" borderId="20" xfId="0" applyNumberFormat="1" applyFont="1" applyBorder="1"/>
    <xf numFmtId="0" fontId="0" fillId="0" borderId="21" xfId="0" applyBorder="1"/>
    <xf numFmtId="164" fontId="0" fillId="0" borderId="21" xfId="0" applyNumberFormat="1" applyBorder="1"/>
    <xf numFmtId="166" fontId="0" fillId="0" borderId="1" xfId="0" applyNumberFormat="1" applyBorder="1"/>
    <xf numFmtId="166" fontId="2" fillId="0" borderId="1" xfId="0" applyNumberFormat="1" applyFont="1" applyBorder="1"/>
    <xf numFmtId="0" fontId="2" fillId="5" borderId="0" xfId="0" applyFont="1" applyFill="1"/>
    <xf numFmtId="0" fontId="0" fillId="5" borderId="0" xfId="0" applyFill="1"/>
    <xf numFmtId="0" fontId="2" fillId="2" borderId="0" xfId="0" applyFont="1" applyFill="1"/>
    <xf numFmtId="0" fontId="2" fillId="2" borderId="1" xfId="0" applyFont="1" applyFill="1" applyBorder="1"/>
    <xf numFmtId="166" fontId="2" fillId="2" borderId="1" xfId="0" applyNumberFormat="1" applyFont="1" applyFill="1" applyBorder="1"/>
    <xf numFmtId="164" fontId="0" fillId="0" borderId="1" xfId="0" applyNumberFormat="1" applyBorder="1"/>
    <xf numFmtId="10" fontId="2" fillId="0" borderId="1" xfId="1" applyNumberFormat="1" applyFont="1" applyBorder="1"/>
    <xf numFmtId="0" fontId="4" fillId="5" borderId="0" xfId="0" applyFont="1" applyFill="1"/>
    <xf numFmtId="0" fontId="7" fillId="5" borderId="0" xfId="0" applyFont="1" applyFill="1"/>
    <xf numFmtId="0" fontId="2" fillId="5" borderId="0" xfId="0" applyFont="1" applyFill="1" applyBorder="1"/>
    <xf numFmtId="166" fontId="2" fillId="5" borderId="0" xfId="0" applyNumberFormat="1" applyFont="1" applyFill="1" applyBorder="1"/>
    <xf numFmtId="166" fontId="0" fillId="5" borderId="0" xfId="0" applyNumberFormat="1" applyFill="1"/>
    <xf numFmtId="9" fontId="0" fillId="5" borderId="0" xfId="1" applyNumberFormat="1" applyFont="1" applyFill="1"/>
    <xf numFmtId="0" fontId="0" fillId="6" borderId="1" xfId="0" applyFill="1" applyBorder="1"/>
    <xf numFmtId="10" fontId="3" fillId="6" borderId="1" xfId="0" applyNumberFormat="1" applyFont="1" applyFill="1" applyBorder="1"/>
    <xf numFmtId="164" fontId="2" fillId="2" borderId="5" xfId="0" applyNumberFormat="1" applyFont="1" applyFill="1" applyBorder="1"/>
    <xf numFmtId="0" fontId="6" fillId="5" borderId="0" xfId="0" applyFont="1" applyFill="1"/>
    <xf numFmtId="0" fontId="0" fillId="5" borderId="1" xfId="0" applyFill="1" applyBorder="1"/>
    <xf numFmtId="10" fontId="0" fillId="5" borderId="1" xfId="0" applyNumberFormat="1" applyFill="1" applyBorder="1"/>
    <xf numFmtId="164" fontId="0" fillId="0" borderId="0" xfId="0" applyNumberFormat="1" applyFill="1" applyBorder="1"/>
    <xf numFmtId="166" fontId="0" fillId="2" borderId="1" xfId="0" applyNumberFormat="1" applyFill="1" applyBorder="1"/>
    <xf numFmtId="0" fontId="8" fillId="5" borderId="0" xfId="2" applyFill="1"/>
  </cellXfs>
  <cellStyles count="3">
    <cellStyle name="Hiperlink" xfId="2" builtinId="8"/>
    <cellStyle name="Norm.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arciniwuc.com/mieszkanie-na-wynajem-dobra-inwestycja/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showGridLines="0" tabSelected="1" zoomScale="142" workbookViewId="0">
      <selection activeCell="F32" sqref="F32"/>
    </sheetView>
  </sheetViews>
  <sheetFormatPr baseColWidth="10" defaultColWidth="8.83203125" defaultRowHeight="15" x14ac:dyDescent="0.2"/>
  <cols>
    <col min="2" max="2" width="60" customWidth="1"/>
    <col min="3" max="3" width="12.1640625" bestFit="1" customWidth="1"/>
    <col min="5" max="5" width="40.6640625" customWidth="1"/>
    <col min="6" max="15" width="12.6640625" customWidth="1"/>
  </cols>
  <sheetData>
    <row r="1" spans="1:15" ht="19" x14ac:dyDescent="0.25">
      <c r="A1" s="54"/>
      <c r="B1" s="69" t="s">
        <v>61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x14ac:dyDescent="0.2">
      <c r="A2" s="54"/>
      <c r="B2" s="74" t="s">
        <v>64</v>
      </c>
      <c r="C2" s="54"/>
      <c r="D2" s="54"/>
      <c r="E2" s="53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2" thickBot="1" x14ac:dyDescent="0.3">
      <c r="A3" s="54"/>
      <c r="B3" s="54"/>
      <c r="C3" s="54"/>
      <c r="D3" s="54"/>
      <c r="E3" s="60" t="s">
        <v>51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21" x14ac:dyDescent="0.25">
      <c r="A4" s="54"/>
      <c r="B4" s="5" t="s">
        <v>1</v>
      </c>
      <c r="C4" s="6"/>
      <c r="D4" s="54"/>
      <c r="E4" s="30" t="s">
        <v>31</v>
      </c>
      <c r="F4" s="31">
        <v>1</v>
      </c>
      <c r="G4" s="31">
        <v>2</v>
      </c>
      <c r="H4" s="31">
        <v>3</v>
      </c>
      <c r="I4" s="31">
        <v>4</v>
      </c>
      <c r="J4" s="31">
        <v>5</v>
      </c>
      <c r="K4" s="31">
        <v>6</v>
      </c>
      <c r="L4" s="31">
        <v>7</v>
      </c>
      <c r="M4" s="31">
        <v>8</v>
      </c>
      <c r="N4" s="31">
        <v>9</v>
      </c>
      <c r="O4" s="32">
        <v>10</v>
      </c>
    </row>
    <row r="5" spans="1:15" x14ac:dyDescent="0.2">
      <c r="A5" s="54">
        <v>1</v>
      </c>
      <c r="B5" s="7" t="s">
        <v>0</v>
      </c>
      <c r="C5" s="35">
        <v>2000</v>
      </c>
      <c r="D5" s="54"/>
      <c r="E5" s="33" t="s">
        <v>32</v>
      </c>
      <c r="F5" s="42">
        <f>C10</f>
        <v>23100</v>
      </c>
      <c r="G5" s="42">
        <f>F5*(1+$C$44)</f>
        <v>23677.499999999996</v>
      </c>
      <c r="H5" s="42">
        <f t="shared" ref="H5:O5" si="0">G5*(1+$C$44)</f>
        <v>24269.437499999993</v>
      </c>
      <c r="I5" s="42">
        <f t="shared" si="0"/>
        <v>24876.173437499991</v>
      </c>
      <c r="J5" s="42">
        <f t="shared" si="0"/>
        <v>25498.07777343749</v>
      </c>
      <c r="K5" s="42">
        <f t="shared" si="0"/>
        <v>26135.529717773425</v>
      </c>
      <c r="L5" s="42">
        <f t="shared" si="0"/>
        <v>26788.917960717758</v>
      </c>
      <c r="M5" s="42">
        <f t="shared" si="0"/>
        <v>27458.640909735699</v>
      </c>
      <c r="N5" s="42">
        <f t="shared" si="0"/>
        <v>28145.106932479088</v>
      </c>
      <c r="O5" s="42">
        <f t="shared" si="0"/>
        <v>28848.734605791062</v>
      </c>
    </row>
    <row r="6" spans="1:15" x14ac:dyDescent="0.2">
      <c r="A6" s="54">
        <v>2</v>
      </c>
      <c r="B6" s="7" t="s">
        <v>60</v>
      </c>
      <c r="C6" s="35">
        <v>200</v>
      </c>
      <c r="D6" s="54"/>
      <c r="E6" s="10" t="s">
        <v>33</v>
      </c>
      <c r="F6" s="43">
        <f>C27</f>
        <v>9410</v>
      </c>
      <c r="G6" s="72">
        <f>F6*(1+$C$44)</f>
        <v>9645.25</v>
      </c>
      <c r="H6" s="72">
        <f t="shared" ref="H6:O6" si="1">G6*(1+$C$44)</f>
        <v>9886.3812499999985</v>
      </c>
      <c r="I6" s="72">
        <f t="shared" si="1"/>
        <v>10133.540781249998</v>
      </c>
      <c r="J6" s="72">
        <f t="shared" si="1"/>
        <v>10386.879300781247</v>
      </c>
      <c r="K6" s="72">
        <f t="shared" si="1"/>
        <v>10646.551283300778</v>
      </c>
      <c r="L6" s="72">
        <f t="shared" si="1"/>
        <v>10912.715065383296</v>
      </c>
      <c r="M6" s="72">
        <f t="shared" si="1"/>
        <v>11185.532942017877</v>
      </c>
      <c r="N6" s="72">
        <f t="shared" si="1"/>
        <v>11465.171265568322</v>
      </c>
      <c r="O6" s="72">
        <f t="shared" si="1"/>
        <v>11751.800547207529</v>
      </c>
    </row>
    <row r="7" spans="1:15" x14ac:dyDescent="0.2">
      <c r="A7" s="54">
        <v>3</v>
      </c>
      <c r="B7" s="7" t="s">
        <v>11</v>
      </c>
      <c r="C7" s="35">
        <v>0</v>
      </c>
      <c r="D7" s="54"/>
      <c r="E7" s="10" t="s">
        <v>38</v>
      </c>
      <c r="F7" s="43">
        <f>IF(MOD(F4,$C$30)=0,$C$35,0)</f>
        <v>0</v>
      </c>
      <c r="G7" s="43">
        <f t="shared" ref="G7:O7" si="2">IF(MOD(G4,$C$30)=0,$C$35,0)</f>
        <v>2730</v>
      </c>
      <c r="H7" s="43">
        <f t="shared" si="2"/>
        <v>0</v>
      </c>
      <c r="I7" s="43">
        <f t="shared" si="2"/>
        <v>2730</v>
      </c>
      <c r="J7" s="43">
        <f t="shared" si="2"/>
        <v>0</v>
      </c>
      <c r="K7" s="43">
        <f t="shared" si="2"/>
        <v>2730</v>
      </c>
      <c r="L7" s="43">
        <f t="shared" si="2"/>
        <v>0</v>
      </c>
      <c r="M7" s="43">
        <f t="shared" si="2"/>
        <v>2730</v>
      </c>
      <c r="N7" s="43">
        <f t="shared" si="2"/>
        <v>0</v>
      </c>
      <c r="O7" s="44">
        <f t="shared" si="2"/>
        <v>2730</v>
      </c>
    </row>
    <row r="8" spans="1:15" x14ac:dyDescent="0.2">
      <c r="A8" s="54"/>
      <c r="B8" s="15" t="s">
        <v>22</v>
      </c>
      <c r="C8" s="36">
        <f>SUM(C5:C7)</f>
        <v>2200</v>
      </c>
      <c r="D8" s="54"/>
      <c r="E8" s="10" t="s">
        <v>19</v>
      </c>
      <c r="F8" s="43">
        <f>IF(MOD(F4,$C$36)=0,$C$40,0)</f>
        <v>0</v>
      </c>
      <c r="G8" s="43">
        <f t="shared" ref="G8:O8" si="3">IF(MOD(G4,$C$36)=0,$C$40,0)</f>
        <v>0</v>
      </c>
      <c r="H8" s="43">
        <f t="shared" si="3"/>
        <v>0</v>
      </c>
      <c r="I8" s="43">
        <f t="shared" si="3"/>
        <v>0</v>
      </c>
      <c r="J8" s="43">
        <f t="shared" si="3"/>
        <v>3400</v>
      </c>
      <c r="K8" s="43">
        <f t="shared" si="3"/>
        <v>0</v>
      </c>
      <c r="L8" s="43">
        <f t="shared" si="3"/>
        <v>0</v>
      </c>
      <c r="M8" s="43">
        <f t="shared" si="3"/>
        <v>0</v>
      </c>
      <c r="N8" s="43">
        <f t="shared" si="3"/>
        <v>0</v>
      </c>
      <c r="O8" s="44">
        <f t="shared" si="3"/>
        <v>3400</v>
      </c>
    </row>
    <row r="9" spans="1:15" ht="16" thickBot="1" x14ac:dyDescent="0.25">
      <c r="A9" s="54"/>
      <c r="B9" s="12" t="s">
        <v>9</v>
      </c>
      <c r="C9" s="13">
        <v>10.5</v>
      </c>
      <c r="D9" s="54"/>
      <c r="E9" s="10" t="s">
        <v>39</v>
      </c>
      <c r="F9" s="43">
        <f>IF(MOD(F4,$C$41)=0,$C$42,0)</f>
        <v>0</v>
      </c>
      <c r="G9" s="43">
        <f t="shared" ref="G9:O9" si="4">IF(MOD(G4,$C$41)=0,$C$42,0)</f>
        <v>0</v>
      </c>
      <c r="H9" s="43">
        <f t="shared" si="4"/>
        <v>0</v>
      </c>
      <c r="I9" s="43">
        <f t="shared" si="4"/>
        <v>0</v>
      </c>
      <c r="J9" s="43">
        <f t="shared" si="4"/>
        <v>10000</v>
      </c>
      <c r="K9" s="43">
        <f t="shared" si="4"/>
        <v>0</v>
      </c>
      <c r="L9" s="43">
        <f t="shared" si="4"/>
        <v>0</v>
      </c>
      <c r="M9" s="43">
        <f t="shared" si="4"/>
        <v>0</v>
      </c>
      <c r="N9" s="43">
        <f t="shared" si="4"/>
        <v>0</v>
      </c>
      <c r="O9" s="44">
        <f t="shared" si="4"/>
        <v>10000</v>
      </c>
    </row>
    <row r="10" spans="1:15" ht="17" thickBot="1" x14ac:dyDescent="0.25">
      <c r="A10" s="54"/>
      <c r="B10" s="14" t="s">
        <v>5</v>
      </c>
      <c r="C10" s="37">
        <f>C8*C9</f>
        <v>23100</v>
      </c>
      <c r="D10" s="54"/>
      <c r="E10" s="34" t="s">
        <v>40</v>
      </c>
      <c r="F10" s="45">
        <f>SUM(F6:F9)</f>
        <v>9410</v>
      </c>
      <c r="G10" s="45">
        <f t="shared" ref="G10:O10" si="5">SUM(G6:G9)</f>
        <v>12375.25</v>
      </c>
      <c r="H10" s="45">
        <f t="shared" si="5"/>
        <v>9886.3812499999985</v>
      </c>
      <c r="I10" s="45">
        <f t="shared" si="5"/>
        <v>12863.540781249998</v>
      </c>
      <c r="J10" s="45">
        <f t="shared" si="5"/>
        <v>23786.879300781249</v>
      </c>
      <c r="K10" s="45">
        <f t="shared" si="5"/>
        <v>13376.551283300778</v>
      </c>
      <c r="L10" s="45">
        <f t="shared" si="5"/>
        <v>10912.715065383296</v>
      </c>
      <c r="M10" s="45">
        <f t="shared" si="5"/>
        <v>13915.532942017877</v>
      </c>
      <c r="N10" s="45">
        <f t="shared" si="5"/>
        <v>11465.171265568322</v>
      </c>
      <c r="O10" s="46">
        <f t="shared" si="5"/>
        <v>27881.800547207531</v>
      </c>
    </row>
    <row r="11" spans="1:15" ht="16" thickBot="1" x14ac:dyDescent="0.25">
      <c r="A11" s="54"/>
      <c r="D11" s="54"/>
      <c r="E11" s="11" t="s">
        <v>41</v>
      </c>
      <c r="F11" s="47">
        <f>F5-F10</f>
        <v>13690</v>
      </c>
      <c r="G11" s="47">
        <f t="shared" ref="G11:O11" si="6">G5-G10</f>
        <v>11302.249999999996</v>
      </c>
      <c r="H11" s="47">
        <f t="shared" si="6"/>
        <v>14383.056249999994</v>
      </c>
      <c r="I11" s="47">
        <f t="shared" si="6"/>
        <v>12012.632656249993</v>
      </c>
      <c r="J11" s="47">
        <f t="shared" si="6"/>
        <v>1711.1984726562405</v>
      </c>
      <c r="K11" s="47">
        <f t="shared" si="6"/>
        <v>12758.978434472647</v>
      </c>
      <c r="L11" s="47">
        <f t="shared" si="6"/>
        <v>15876.202895334462</v>
      </c>
      <c r="M11" s="47">
        <f t="shared" si="6"/>
        <v>13543.107967717822</v>
      </c>
      <c r="N11" s="47">
        <f t="shared" si="6"/>
        <v>16679.935666910766</v>
      </c>
      <c r="O11" s="48">
        <f t="shared" si="6"/>
        <v>966.93405858353071</v>
      </c>
    </row>
    <row r="12" spans="1:15" ht="21" x14ac:dyDescent="0.25">
      <c r="A12" s="54"/>
      <c r="B12" s="8" t="s">
        <v>21</v>
      </c>
      <c r="C12" s="9"/>
      <c r="D12" s="54"/>
      <c r="E12" s="49" t="s">
        <v>50</v>
      </c>
      <c r="F12" s="50">
        <f>F11/12</f>
        <v>1140.8333333333333</v>
      </c>
      <c r="G12" s="50">
        <f t="shared" ref="G12:O12" si="7">G11/12</f>
        <v>941.8541666666664</v>
      </c>
      <c r="H12" s="50">
        <f t="shared" si="7"/>
        <v>1198.5880208333328</v>
      </c>
      <c r="I12" s="50">
        <f t="shared" si="7"/>
        <v>1001.052721354166</v>
      </c>
      <c r="J12" s="50">
        <f t="shared" si="7"/>
        <v>142.59987272135336</v>
      </c>
      <c r="K12" s="50">
        <f t="shared" si="7"/>
        <v>1063.2482028727206</v>
      </c>
      <c r="L12" s="50">
        <f t="shared" si="7"/>
        <v>1323.0169079445384</v>
      </c>
      <c r="M12" s="50">
        <f t="shared" si="7"/>
        <v>1128.5923306431519</v>
      </c>
      <c r="N12" s="50">
        <f t="shared" si="7"/>
        <v>1389.9946389092304</v>
      </c>
      <c r="O12" s="50">
        <f t="shared" si="7"/>
        <v>80.577838215294221</v>
      </c>
    </row>
    <row r="13" spans="1:15" x14ac:dyDescent="0.2">
      <c r="A13" s="54">
        <v>1</v>
      </c>
      <c r="B13" s="2" t="s">
        <v>3</v>
      </c>
      <c r="C13" s="35">
        <v>400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x14ac:dyDescent="0.2">
      <c r="A14" s="54">
        <v>2</v>
      </c>
      <c r="B14" s="2" t="s">
        <v>2</v>
      </c>
      <c r="C14" s="35">
        <v>100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1:15" ht="21" x14ac:dyDescent="0.25">
      <c r="A15" s="54">
        <v>3</v>
      </c>
      <c r="B15" s="2" t="s">
        <v>4</v>
      </c>
      <c r="C15" s="35">
        <v>60</v>
      </c>
      <c r="D15" s="54"/>
      <c r="E15" s="60" t="s">
        <v>42</v>
      </c>
      <c r="F15" s="61"/>
      <c r="G15" s="54"/>
      <c r="H15" s="54"/>
      <c r="I15" s="54"/>
      <c r="J15" s="54"/>
      <c r="K15" s="54"/>
      <c r="L15" s="54"/>
      <c r="M15" s="54"/>
      <c r="N15" s="54"/>
      <c r="O15" s="54"/>
    </row>
    <row r="16" spans="1:15" x14ac:dyDescent="0.2">
      <c r="A16" s="54">
        <v>4</v>
      </c>
      <c r="B16" s="2" t="s">
        <v>10</v>
      </c>
      <c r="C16" s="38">
        <v>170</v>
      </c>
      <c r="D16" s="54"/>
      <c r="E16" s="55" t="s">
        <v>55</v>
      </c>
      <c r="F16" s="1"/>
      <c r="G16" s="54"/>
      <c r="H16" s="54"/>
      <c r="I16" s="54"/>
      <c r="J16" s="54"/>
      <c r="K16" s="54"/>
      <c r="L16" s="54"/>
      <c r="M16" s="54"/>
      <c r="N16" s="54"/>
      <c r="O16" s="54"/>
    </row>
    <row r="17" spans="1:15" x14ac:dyDescent="0.2">
      <c r="A17" s="54">
        <v>5</v>
      </c>
      <c r="B17" s="2" t="s">
        <v>49</v>
      </c>
      <c r="C17" s="38">
        <v>0</v>
      </c>
      <c r="D17" s="54"/>
      <c r="E17" s="2" t="s">
        <v>43</v>
      </c>
      <c r="F17" s="51">
        <v>400000</v>
      </c>
      <c r="G17" s="54"/>
      <c r="H17" s="54"/>
      <c r="I17" s="54"/>
      <c r="J17" s="54"/>
      <c r="K17" s="54"/>
      <c r="L17" s="54"/>
      <c r="M17" s="54"/>
      <c r="N17" s="54"/>
      <c r="O17" s="54"/>
    </row>
    <row r="18" spans="1:15" x14ac:dyDescent="0.2">
      <c r="A18" s="54">
        <v>6</v>
      </c>
      <c r="B18" s="2" t="s">
        <v>6</v>
      </c>
      <c r="C18" s="39">
        <v>0</v>
      </c>
      <c r="D18" s="54"/>
      <c r="E18" s="2" t="s">
        <v>44</v>
      </c>
      <c r="F18" s="51">
        <v>50000</v>
      </c>
      <c r="G18" s="54"/>
      <c r="H18" s="54"/>
      <c r="I18" s="54"/>
      <c r="J18" s="54"/>
      <c r="K18" s="54"/>
      <c r="L18" s="54"/>
      <c r="M18" s="54"/>
      <c r="N18" s="54"/>
      <c r="O18" s="54"/>
    </row>
    <row r="19" spans="1:15" x14ac:dyDescent="0.2">
      <c r="A19" s="54"/>
      <c r="B19" s="17" t="s">
        <v>24</v>
      </c>
      <c r="C19" s="68">
        <f>SUM(C13:C18)</f>
        <v>730</v>
      </c>
      <c r="D19" s="54"/>
      <c r="E19" s="2" t="s">
        <v>45</v>
      </c>
      <c r="F19" s="51">
        <v>0</v>
      </c>
      <c r="G19" s="54"/>
      <c r="H19" s="54"/>
      <c r="I19" s="54"/>
      <c r="J19" s="54"/>
      <c r="K19" s="54"/>
      <c r="L19" s="54"/>
      <c r="M19" s="54"/>
      <c r="N19" s="54"/>
      <c r="O19" s="54"/>
    </row>
    <row r="20" spans="1:15" ht="21" x14ac:dyDescent="0.25">
      <c r="A20" s="54"/>
      <c r="B20" s="20" t="s">
        <v>23</v>
      </c>
      <c r="C20" s="21"/>
      <c r="D20" s="54"/>
      <c r="E20" s="2" t="s">
        <v>54</v>
      </c>
      <c r="F20" s="58">
        <v>0</v>
      </c>
      <c r="G20" s="54"/>
      <c r="H20" s="54"/>
      <c r="I20" s="54"/>
      <c r="J20" s="54"/>
      <c r="K20" s="54"/>
      <c r="L20" s="54"/>
      <c r="M20" s="54"/>
      <c r="N20" s="54"/>
      <c r="O20" s="54"/>
    </row>
    <row r="21" spans="1:15" x14ac:dyDescent="0.2">
      <c r="A21" s="54">
        <v>1</v>
      </c>
      <c r="B21" s="7" t="s">
        <v>7</v>
      </c>
      <c r="C21" s="35">
        <v>300</v>
      </c>
      <c r="D21" s="54"/>
      <c r="E21" s="2" t="s">
        <v>48</v>
      </c>
      <c r="F21" s="51">
        <v>5000</v>
      </c>
      <c r="G21" s="54"/>
      <c r="H21" s="54"/>
      <c r="I21" s="54"/>
      <c r="J21" s="54"/>
      <c r="K21" s="54"/>
      <c r="L21" s="54"/>
      <c r="M21" s="54"/>
      <c r="N21" s="54"/>
      <c r="O21" s="54"/>
    </row>
    <row r="22" spans="1:15" x14ac:dyDescent="0.2">
      <c r="A22" s="54">
        <v>2</v>
      </c>
      <c r="B22" s="7" t="s">
        <v>8</v>
      </c>
      <c r="C22" s="35">
        <v>100</v>
      </c>
      <c r="D22" s="54"/>
      <c r="E22" s="56" t="s">
        <v>52</v>
      </c>
      <c r="F22" s="57">
        <f>F17+F18+F19-F20+F21</f>
        <v>455000</v>
      </c>
      <c r="G22" s="54"/>
      <c r="H22" s="54"/>
      <c r="I22" s="54"/>
      <c r="J22" s="54"/>
      <c r="K22" s="54"/>
      <c r="L22" s="54"/>
      <c r="M22" s="54"/>
      <c r="N22" s="54"/>
      <c r="O22" s="54"/>
    </row>
    <row r="23" spans="1:15" x14ac:dyDescent="0.2">
      <c r="A23" s="54">
        <v>3</v>
      </c>
      <c r="B23" s="7" t="s">
        <v>12</v>
      </c>
      <c r="C23" s="35">
        <v>50</v>
      </c>
      <c r="D23" s="54"/>
      <c r="E23" s="62"/>
      <c r="F23" s="63"/>
      <c r="G23" s="54"/>
      <c r="H23" s="54"/>
      <c r="I23" s="54"/>
      <c r="J23" s="54"/>
      <c r="K23" s="54"/>
      <c r="L23" s="54"/>
      <c r="M23" s="54"/>
      <c r="N23" s="54"/>
      <c r="O23" s="54"/>
    </row>
    <row r="24" spans="1:15" x14ac:dyDescent="0.2">
      <c r="A24" s="54">
        <v>4</v>
      </c>
      <c r="B24" s="7" t="s">
        <v>13</v>
      </c>
      <c r="C24" s="35">
        <v>200</v>
      </c>
      <c r="D24" s="54"/>
      <c r="E24" s="56" t="s">
        <v>56</v>
      </c>
      <c r="F24" s="57"/>
      <c r="G24" s="54"/>
      <c r="H24" s="54"/>
      <c r="I24" s="54"/>
      <c r="J24" s="54"/>
      <c r="K24" s="54"/>
      <c r="L24" s="54"/>
      <c r="M24" s="54"/>
      <c r="N24" s="54"/>
      <c r="O24" s="54"/>
    </row>
    <row r="25" spans="1:15" x14ac:dyDescent="0.2">
      <c r="A25" s="54">
        <v>5</v>
      </c>
      <c r="B25" s="7" t="s">
        <v>6</v>
      </c>
      <c r="C25" s="35">
        <v>0</v>
      </c>
      <c r="D25" s="54"/>
      <c r="E25" s="2" t="s">
        <v>57</v>
      </c>
      <c r="F25" s="58">
        <f>SUM(F11:O11)</f>
        <v>112924.29640192544</v>
      </c>
      <c r="G25" s="54"/>
      <c r="H25" s="54"/>
      <c r="I25" s="54"/>
      <c r="J25" s="54"/>
      <c r="K25" s="54"/>
      <c r="L25" s="54"/>
      <c r="M25" s="54"/>
      <c r="N25" s="54"/>
      <c r="O25" s="54"/>
    </row>
    <row r="26" spans="1:15" x14ac:dyDescent="0.2">
      <c r="A26" s="54"/>
      <c r="B26" s="16" t="s">
        <v>29</v>
      </c>
      <c r="C26" s="36">
        <f>SUM(C20:C25)</f>
        <v>650</v>
      </c>
      <c r="D26" s="54"/>
      <c r="E26" s="2" t="s">
        <v>47</v>
      </c>
      <c r="F26" s="73">
        <f>F17*POWER((1+$C$44),$O$4)</f>
        <v>512033.81767854281</v>
      </c>
      <c r="G26" s="54"/>
      <c r="H26" s="54"/>
      <c r="I26" s="54"/>
      <c r="J26" s="54"/>
      <c r="K26" s="54"/>
      <c r="L26" s="54"/>
      <c r="M26" s="54"/>
      <c r="N26" s="54"/>
      <c r="O26" s="54"/>
    </row>
    <row r="27" spans="1:15" ht="16" thickBot="1" x14ac:dyDescent="0.25">
      <c r="A27" s="54"/>
      <c r="B27" s="22" t="s">
        <v>30</v>
      </c>
      <c r="C27" s="40">
        <f>C19*12+C26</f>
        <v>9410</v>
      </c>
      <c r="D27" s="54"/>
      <c r="E27" s="2" t="s">
        <v>53</v>
      </c>
      <c r="F27" s="58">
        <v>5000</v>
      </c>
      <c r="G27" s="54"/>
      <c r="H27" s="54"/>
      <c r="I27" s="54"/>
      <c r="J27" s="54"/>
      <c r="K27" s="54"/>
      <c r="L27" s="54"/>
      <c r="M27" s="54"/>
      <c r="N27" s="54"/>
      <c r="O27" s="54"/>
    </row>
    <row r="28" spans="1:15" x14ac:dyDescent="0.2">
      <c r="A28" s="54"/>
      <c r="B28" s="18"/>
      <c r="C28" s="19"/>
      <c r="D28" s="54"/>
      <c r="E28" s="56" t="s">
        <v>63</v>
      </c>
      <c r="F28" s="57">
        <f>F25+F26-F27</f>
        <v>619958.11408046819</v>
      </c>
      <c r="G28" s="54"/>
      <c r="H28" s="54"/>
      <c r="I28" s="54"/>
      <c r="J28" s="54"/>
      <c r="K28" s="54"/>
      <c r="L28" s="54"/>
      <c r="M28" s="54"/>
      <c r="N28" s="54"/>
      <c r="O28" s="54"/>
    </row>
    <row r="29" spans="1:15" ht="22" thickBot="1" x14ac:dyDescent="0.3">
      <c r="A29" s="54"/>
      <c r="B29" s="3" t="s">
        <v>34</v>
      </c>
      <c r="C29" s="4"/>
      <c r="D29" s="54"/>
      <c r="E29" s="54"/>
      <c r="F29" s="64"/>
      <c r="G29" s="54"/>
      <c r="H29" s="54"/>
      <c r="I29" s="54"/>
      <c r="J29" s="54"/>
      <c r="K29" s="54"/>
      <c r="L29" s="54"/>
      <c r="M29" s="54"/>
      <c r="N29" s="54"/>
      <c r="O29" s="54"/>
    </row>
    <row r="30" spans="1:15" x14ac:dyDescent="0.2">
      <c r="A30" s="54"/>
      <c r="B30" s="23" t="s">
        <v>14</v>
      </c>
      <c r="C30" s="24">
        <v>2</v>
      </c>
      <c r="D30" s="54"/>
      <c r="E30" s="2" t="s">
        <v>46</v>
      </c>
      <c r="F30" s="52">
        <f>F28-F22</f>
        <v>164958.11408046819</v>
      </c>
      <c r="G30" s="54"/>
      <c r="H30" s="54"/>
      <c r="I30" s="54"/>
      <c r="J30" s="54"/>
      <c r="K30" s="54"/>
      <c r="L30" s="54"/>
      <c r="M30" s="54"/>
      <c r="N30" s="54"/>
      <c r="O30" s="54"/>
    </row>
    <row r="31" spans="1:15" x14ac:dyDescent="0.2">
      <c r="A31" s="54"/>
      <c r="B31" s="7" t="s">
        <v>15</v>
      </c>
      <c r="C31" s="25">
        <v>0.5</v>
      </c>
      <c r="D31" s="54"/>
      <c r="E31" s="2" t="s">
        <v>58</v>
      </c>
      <c r="F31" s="59">
        <f>F30/F22</f>
        <v>0.36254530567135868</v>
      </c>
      <c r="G31" s="54"/>
      <c r="H31" s="54"/>
      <c r="I31" s="54"/>
      <c r="J31" s="54"/>
      <c r="K31" s="54"/>
      <c r="L31" s="54"/>
      <c r="M31" s="54"/>
      <c r="N31" s="54"/>
      <c r="O31" s="54"/>
    </row>
    <row r="32" spans="1:15" ht="16" x14ac:dyDescent="0.2">
      <c r="A32" s="54"/>
      <c r="B32" s="26" t="s">
        <v>16</v>
      </c>
      <c r="C32" s="36">
        <f>C5*C31*1.23</f>
        <v>1230</v>
      </c>
      <c r="D32" s="54"/>
      <c r="E32" s="66" t="s">
        <v>59</v>
      </c>
      <c r="F32" s="67">
        <f>POWER(F28/F22,0.1)-1</f>
        <v>3.1418923529732856E-2</v>
      </c>
      <c r="G32" s="54"/>
      <c r="H32" s="54"/>
      <c r="I32" s="54"/>
      <c r="J32" s="54"/>
      <c r="K32" s="54"/>
      <c r="L32" s="54"/>
      <c r="M32" s="54"/>
      <c r="N32" s="54"/>
      <c r="O32" s="54"/>
    </row>
    <row r="33" spans="1:15" x14ac:dyDescent="0.2">
      <c r="A33" s="54"/>
      <c r="B33" s="7" t="s">
        <v>17</v>
      </c>
      <c r="C33" s="35">
        <v>1000</v>
      </c>
      <c r="D33" s="54"/>
      <c r="E33" s="54"/>
      <c r="F33" s="65"/>
      <c r="G33" s="54"/>
      <c r="H33" s="54"/>
      <c r="I33" s="54"/>
      <c r="J33" s="54"/>
      <c r="K33" s="54"/>
      <c r="L33" s="54"/>
      <c r="M33" s="54"/>
      <c r="N33" s="54"/>
      <c r="O33" s="54"/>
    </row>
    <row r="34" spans="1:15" x14ac:dyDescent="0.2">
      <c r="A34" s="54"/>
      <c r="B34" s="7" t="s">
        <v>18</v>
      </c>
      <c r="C34" s="35">
        <v>500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1:15" ht="16" thickBot="1" x14ac:dyDescent="0.25">
      <c r="A35" s="54"/>
      <c r="B35" s="27" t="s">
        <v>35</v>
      </c>
      <c r="C35" s="41">
        <f>SUM(C32+C33+C34)</f>
        <v>2730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1:15" x14ac:dyDescent="0.2">
      <c r="A36" s="54"/>
      <c r="B36" s="23" t="s">
        <v>20</v>
      </c>
      <c r="C36" s="28">
        <v>5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</row>
    <row r="37" spans="1:15" x14ac:dyDescent="0.2">
      <c r="A37" s="54"/>
      <c r="B37" s="7" t="s">
        <v>25</v>
      </c>
      <c r="C37" s="35">
        <v>1200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8" spans="1:15" x14ac:dyDescent="0.2">
      <c r="A38" s="54"/>
      <c r="B38" s="7" t="s">
        <v>26</v>
      </c>
      <c r="C38" s="35">
        <v>1200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spans="1:15" x14ac:dyDescent="0.2">
      <c r="A39" s="54"/>
      <c r="B39" s="7" t="s">
        <v>27</v>
      </c>
      <c r="C39" s="35">
        <v>1000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16" thickBot="1" x14ac:dyDescent="0.25">
      <c r="A40" s="54"/>
      <c r="B40" s="27" t="s">
        <v>36</v>
      </c>
      <c r="C40" s="41">
        <f>SUM(C37:C39)</f>
        <v>3400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5" x14ac:dyDescent="0.2">
      <c r="A41" s="54"/>
      <c r="B41" s="23" t="s">
        <v>37</v>
      </c>
      <c r="C41" s="28">
        <v>5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5" ht="16" thickBot="1" x14ac:dyDescent="0.25">
      <c r="A42" s="54"/>
      <c r="B42" s="29" t="s">
        <v>28</v>
      </c>
      <c r="C42" s="41">
        <v>10000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1:15" x14ac:dyDescent="0.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1:15" x14ac:dyDescent="0.2">
      <c r="A44" s="54"/>
      <c r="B44" s="70" t="s">
        <v>62</v>
      </c>
      <c r="C44" s="71">
        <v>2.5000000000000001E-2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5" ht="21" x14ac:dyDescent="0.25">
      <c r="A45" s="54"/>
      <c r="B45" s="60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</sheetData>
  <hyperlinks>
    <hyperlink ref="B2" r:id="rId1"/>
  </hyperlinks>
  <pageMargins left="0.7" right="0.7" top="0.75" bottom="0.75" header="0.3" footer="0.3"/>
  <pageSetup paperSize="9" orientation="portrait" verticalDpi="300" r:id="rId2"/>
  <ignoredErrors>
    <ignoredError sqref="C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Iwuć</dc:creator>
  <cp:lastModifiedBy>Użytkownik Microsoft Office</cp:lastModifiedBy>
  <dcterms:created xsi:type="dcterms:W3CDTF">2017-04-26T08:17:34Z</dcterms:created>
  <dcterms:modified xsi:type="dcterms:W3CDTF">2017-04-27T18:29:55Z</dcterms:modified>
</cp:coreProperties>
</file>