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35" windowWidth="18195" windowHeight="11760"/>
  </bookViews>
  <sheets>
    <sheet name="Dane" sheetId="5" r:id="rId1"/>
    <sheet name="10 lat" sheetId="1" r:id="rId2"/>
    <sheet name="20 lat" sheetId="6" r:id="rId3"/>
    <sheet name="30 lat" sheetId="7" r:id="rId4"/>
    <sheet name="Harmonogram_kredytu" sheetId="2" r:id="rId5"/>
  </sheets>
  <calcPr calcId="125725"/>
</workbook>
</file>

<file path=xl/calcChain.xml><?xml version="1.0" encoding="utf-8"?>
<calcChain xmlns="http://schemas.openxmlformats.org/spreadsheetml/2006/main">
  <c r="C17" i="5"/>
  <c r="C16" l="1"/>
  <c r="BA3" i="2" l="1"/>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BA4"/>
  <c r="BB4"/>
  <c r="BC4"/>
  <c r="BC5" s="1"/>
  <c r="BD4"/>
  <c r="BE4"/>
  <c r="BF4"/>
  <c r="BG4"/>
  <c r="BG5" s="1"/>
  <c r="BH4"/>
  <c r="BI4"/>
  <c r="BJ4"/>
  <c r="BK4"/>
  <c r="BK5" s="1"/>
  <c r="BL4"/>
  <c r="BM4"/>
  <c r="BN4"/>
  <c r="BO4"/>
  <c r="BO5" s="1"/>
  <c r="BP4"/>
  <c r="BQ4"/>
  <c r="BR4"/>
  <c r="BS4"/>
  <c r="BS5" s="1"/>
  <c r="BT4"/>
  <c r="BU4"/>
  <c r="BV4"/>
  <c r="BW4"/>
  <c r="BW5" s="1"/>
  <c r="BX4"/>
  <c r="BY4"/>
  <c r="BZ4"/>
  <c r="CA4"/>
  <c r="CA5" s="1"/>
  <c r="CB4"/>
  <c r="CC4"/>
  <c r="CD4"/>
  <c r="CE4"/>
  <c r="CE5" s="1"/>
  <c r="CF4"/>
  <c r="CG4"/>
  <c r="CH4"/>
  <c r="CI4"/>
  <c r="CI5" s="1"/>
  <c r="CJ4"/>
  <c r="CK4"/>
  <c r="CL4"/>
  <c r="CM4"/>
  <c r="CM5" s="1"/>
  <c r="CN4"/>
  <c r="CO4"/>
  <c r="CP4"/>
  <c r="CQ4"/>
  <c r="CQ5" s="1"/>
  <c r="CR4"/>
  <c r="CS4"/>
  <c r="CT4"/>
  <c r="CU4"/>
  <c r="CU5" s="1"/>
  <c r="CV4"/>
  <c r="CW4"/>
  <c r="CX4"/>
  <c r="BA5"/>
  <c r="BL5"/>
  <c r="BQ5"/>
  <c r="CB5"/>
  <c r="CG5"/>
  <c r="CR5"/>
  <c r="CW5"/>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AG3"/>
  <c r="AH3"/>
  <c r="AI3"/>
  <c r="AJ3"/>
  <c r="AK3"/>
  <c r="AL3"/>
  <c r="AM3"/>
  <c r="AN3"/>
  <c r="AO3"/>
  <c r="AP3"/>
  <c r="AQ3"/>
  <c r="AR3"/>
  <c r="AS3"/>
  <c r="AT3"/>
  <c r="AU3"/>
  <c r="AV3"/>
  <c r="AW3"/>
  <c r="AX3"/>
  <c r="AY3"/>
  <c r="AZ3"/>
  <c r="D3"/>
  <c r="E3"/>
  <c r="F3"/>
  <c r="G3"/>
  <c r="H3"/>
  <c r="I3"/>
  <c r="J3"/>
  <c r="K3"/>
  <c r="L3"/>
  <c r="M3"/>
  <c r="N3"/>
  <c r="O3"/>
  <c r="P3"/>
  <c r="Q3"/>
  <c r="R3"/>
  <c r="S3"/>
  <c r="T3"/>
  <c r="U3"/>
  <c r="V3"/>
  <c r="W3"/>
  <c r="X3"/>
  <c r="Y3"/>
  <c r="Z3"/>
  <c r="AA3"/>
  <c r="AB3"/>
  <c r="AC3"/>
  <c r="AD3"/>
  <c r="AE3"/>
  <c r="AF3"/>
  <c r="C3"/>
  <c r="CS5" l="1"/>
  <c r="CO5"/>
  <c r="CK5"/>
  <c r="CJ5"/>
  <c r="CC5"/>
  <c r="BY5"/>
  <c r="BU5"/>
  <c r="BT5"/>
  <c r="BM5"/>
  <c r="BI5"/>
  <c r="BE5"/>
  <c r="BD5"/>
  <c r="CV5"/>
  <c r="CN5"/>
  <c r="CF5"/>
  <c r="BX5"/>
  <c r="BP5"/>
  <c r="BH5"/>
  <c r="CX5"/>
  <c r="CT5"/>
  <c r="CP5"/>
  <c r="CL5"/>
  <c r="CH5"/>
  <c r="CD5"/>
  <c r="BZ5"/>
  <c r="BV5"/>
  <c r="BR5"/>
  <c r="BN5"/>
  <c r="BJ5"/>
  <c r="BF5"/>
  <c r="BB5"/>
  <c r="C10" i="5"/>
  <c r="C38" i="7" l="1"/>
  <c r="C37"/>
  <c r="C36"/>
  <c r="C35"/>
  <c r="C32" s="1"/>
  <c r="C31"/>
  <c r="F24" s="1"/>
  <c r="G24" s="1"/>
  <c r="C30"/>
  <c r="F23" s="1"/>
  <c r="C29"/>
  <c r="A29"/>
  <c r="C27"/>
  <c r="A27"/>
  <c r="C21"/>
  <c r="C20"/>
  <c r="C19"/>
  <c r="C18"/>
  <c r="C17"/>
  <c r="C16"/>
  <c r="C13"/>
  <c r="F8" s="1"/>
  <c r="C12"/>
  <c r="C11"/>
  <c r="C10"/>
  <c r="A9"/>
  <c r="C8"/>
  <c r="C7"/>
  <c r="C6"/>
  <c r="C5"/>
  <c r="C38" i="6"/>
  <c r="C37"/>
  <c r="C36"/>
  <c r="C35"/>
  <c r="C32" s="1"/>
  <c r="C31"/>
  <c r="F24" s="1"/>
  <c r="C30"/>
  <c r="F23" s="1"/>
  <c r="C29"/>
  <c r="A29"/>
  <c r="C27"/>
  <c r="A27"/>
  <c r="C21"/>
  <c r="C20"/>
  <c r="C19"/>
  <c r="C18"/>
  <c r="C17"/>
  <c r="C16"/>
  <c r="C13"/>
  <c r="F8" s="1"/>
  <c r="C12"/>
  <c r="C11"/>
  <c r="C10"/>
  <c r="A9"/>
  <c r="C8"/>
  <c r="C7"/>
  <c r="C6"/>
  <c r="C5"/>
  <c r="C9" l="1"/>
  <c r="F22"/>
  <c r="G22" s="1"/>
  <c r="H22" s="1"/>
  <c r="I22" s="1"/>
  <c r="J22" s="1"/>
  <c r="K22" s="1"/>
  <c r="L22" s="1"/>
  <c r="M22" s="1"/>
  <c r="N22" s="1"/>
  <c r="O22" s="1"/>
  <c r="P22" s="1"/>
  <c r="C9" i="7"/>
  <c r="F7" s="1"/>
  <c r="F20"/>
  <c r="G20" s="1"/>
  <c r="F7" i="6"/>
  <c r="F20"/>
  <c r="G20" s="1"/>
  <c r="AG23" i="7"/>
  <c r="H2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D23"/>
  <c r="AA23"/>
  <c r="O23"/>
  <c r="U23"/>
  <c r="R23"/>
  <c r="L23"/>
  <c r="X23"/>
  <c r="I23"/>
  <c r="F22"/>
  <c r="G22" s="1"/>
  <c r="H22" s="1"/>
  <c r="I22" s="1"/>
  <c r="J22" s="1"/>
  <c r="K22" s="1"/>
  <c r="L22" s="1"/>
  <c r="M22" s="1"/>
  <c r="N22" s="1"/>
  <c r="O22" s="1"/>
  <c r="P22" s="1"/>
  <c r="Q22" s="1"/>
  <c r="R22" s="1"/>
  <c r="S22" s="1"/>
  <c r="T22" s="1"/>
  <c r="U22" s="1"/>
  <c r="V22" s="1"/>
  <c r="W22" s="1"/>
  <c r="X22" s="1"/>
  <c r="Y22" s="1"/>
  <c r="Z22" s="1"/>
  <c r="C23"/>
  <c r="AI13" s="1"/>
  <c r="C14"/>
  <c r="G24" i="6"/>
  <c r="H24" s="1"/>
  <c r="I24" s="1"/>
  <c r="J24" s="1"/>
  <c r="K24" s="1"/>
  <c r="L24" s="1"/>
  <c r="M24" s="1"/>
  <c r="N24" s="1"/>
  <c r="O24" s="1"/>
  <c r="P24" s="1"/>
  <c r="Q24" s="1"/>
  <c r="R24" s="1"/>
  <c r="S24" s="1"/>
  <c r="T24" s="1"/>
  <c r="C23"/>
  <c r="Y13" s="1"/>
  <c r="R23"/>
  <c r="X23"/>
  <c r="U23"/>
  <c r="L23"/>
  <c r="I23"/>
  <c r="O23"/>
  <c r="C14"/>
  <c r="AA22" i="7" l="1"/>
  <c r="AB22" s="1"/>
  <c r="AC22" s="1"/>
  <c r="AD22" s="1"/>
  <c r="AE22" s="1"/>
  <c r="AF22" s="1"/>
  <c r="AG22" s="1"/>
  <c r="AH22" s="1"/>
  <c r="AI22" s="1"/>
  <c r="G25"/>
  <c r="H20"/>
  <c r="Q22" i="6"/>
  <c r="U24"/>
  <c r="V24" s="1"/>
  <c r="W24" s="1"/>
  <c r="X24" s="1"/>
  <c r="H20"/>
  <c r="G25"/>
  <c r="H25" i="7" l="1"/>
  <c r="I20"/>
  <c r="R22" i="6"/>
  <c r="S22" s="1"/>
  <c r="T22" s="1"/>
  <c r="U22" s="1"/>
  <c r="V22" s="1"/>
  <c r="W22" s="1"/>
  <c r="X22" s="1"/>
  <c r="Y22" s="1"/>
  <c r="Y24"/>
  <c r="H25"/>
  <c r="I20"/>
  <c r="C10" i="1"/>
  <c r="C38"/>
  <c r="B6" i="2"/>
  <c r="C4" s="1"/>
  <c r="C35" i="1"/>
  <c r="C32" s="1"/>
  <c r="C29"/>
  <c r="C30"/>
  <c r="F20" s="1"/>
  <c r="C31"/>
  <c r="F21" s="1"/>
  <c r="C27"/>
  <c r="A29"/>
  <c r="A27"/>
  <c r="A9"/>
  <c r="C36"/>
  <c r="C21"/>
  <c r="C16"/>
  <c r="C17"/>
  <c r="C18"/>
  <c r="C19"/>
  <c r="C20"/>
  <c r="C37"/>
  <c r="C6"/>
  <c r="C7"/>
  <c r="C8"/>
  <c r="C11"/>
  <c r="C12"/>
  <c r="C13"/>
  <c r="F5" s="1"/>
  <c r="C5"/>
  <c r="C12" i="5"/>
  <c r="C29"/>
  <c r="C18"/>
  <c r="C15" i="1" l="1"/>
  <c r="C25" i="5"/>
  <c r="C15" i="7"/>
  <c r="C22" s="1"/>
  <c r="F12" s="1"/>
  <c r="G12" s="1"/>
  <c r="H12" s="1"/>
  <c r="I12" s="1"/>
  <c r="C15" i="6"/>
  <c r="C22" s="1"/>
  <c r="F12" s="1"/>
  <c r="G12" s="1"/>
  <c r="H12" s="1"/>
  <c r="I12" s="1"/>
  <c r="J12" s="1"/>
  <c r="K12" s="1"/>
  <c r="L12" s="1"/>
  <c r="M12" s="1"/>
  <c r="N12" s="1"/>
  <c r="O12" s="1"/>
  <c r="P12" s="1"/>
  <c r="Q12" s="1"/>
  <c r="C22" i="1"/>
  <c r="G21"/>
  <c r="H21" s="1"/>
  <c r="I21" s="1"/>
  <c r="J21" s="1"/>
  <c r="K21" s="1"/>
  <c r="L21" s="1"/>
  <c r="M21" s="1"/>
  <c r="N21" s="1"/>
  <c r="O21" s="1"/>
  <c r="F9" i="7"/>
  <c r="F15" s="1"/>
  <c r="F9" i="6"/>
  <c r="F15" s="1"/>
  <c r="C28" i="1"/>
  <c r="F18" s="1"/>
  <c r="C28" i="6"/>
  <c r="F21" s="1"/>
  <c r="C28" i="7"/>
  <c r="F21" s="1"/>
  <c r="J20"/>
  <c r="J12"/>
  <c r="O20" i="1"/>
  <c r="R12" i="6"/>
  <c r="J20"/>
  <c r="C14" i="1"/>
  <c r="L20"/>
  <c r="I20"/>
  <c r="F9"/>
  <c r="G9" s="1"/>
  <c r="H9" s="1"/>
  <c r="F19"/>
  <c r="G19" s="1"/>
  <c r="H19" s="1"/>
  <c r="I19" s="1"/>
  <c r="J19" s="1"/>
  <c r="K19" s="1"/>
  <c r="L19" s="1"/>
  <c r="M19" s="1"/>
  <c r="N19" s="1"/>
  <c r="O19" s="1"/>
  <c r="C9"/>
  <c r="C23"/>
  <c r="AF9" i="7"/>
  <c r="F17" i="1"/>
  <c r="G17" s="1"/>
  <c r="H17" s="1"/>
  <c r="I17" s="1"/>
  <c r="J17" s="1"/>
  <c r="K17" s="1"/>
  <c r="L17" s="1"/>
  <c r="M17" s="1"/>
  <c r="N17" s="1"/>
  <c r="O17" s="1"/>
  <c r="AB9" i="7"/>
  <c r="AI9"/>
  <c r="AE9"/>
  <c r="AA9"/>
  <c r="AH9"/>
  <c r="AD9"/>
  <c r="Z9"/>
  <c r="F6" i="1"/>
  <c r="AG9" i="7"/>
  <c r="AC9"/>
  <c r="F8" i="1" l="1"/>
  <c r="F11" i="6"/>
  <c r="F11" i="7"/>
  <c r="AA21"/>
  <c r="AG21"/>
  <c r="AD21"/>
  <c r="I6" i="1"/>
  <c r="I9" i="7"/>
  <c r="I15" s="1"/>
  <c r="I9" i="6"/>
  <c r="I15" s="1"/>
  <c r="V9" i="7"/>
  <c r="V9" i="6"/>
  <c r="G6" i="1"/>
  <c r="G12" s="1"/>
  <c r="G9" i="7"/>
  <c r="G15" s="1"/>
  <c r="G28" s="1"/>
  <c r="G29" s="1"/>
  <c r="G9" i="6"/>
  <c r="G15" s="1"/>
  <c r="G28" s="1"/>
  <c r="G29" s="1"/>
  <c r="W9" i="7"/>
  <c r="W9" i="6"/>
  <c r="M6" i="1"/>
  <c r="M9" i="7"/>
  <c r="M9" i="6"/>
  <c r="M15" s="1"/>
  <c r="J6" i="1"/>
  <c r="J9" i="7"/>
  <c r="J15" s="1"/>
  <c r="J9" i="6"/>
  <c r="J15" s="1"/>
  <c r="K6" i="1"/>
  <c r="K9" i="7"/>
  <c r="K9" i="6"/>
  <c r="K15" s="1"/>
  <c r="H6" i="1"/>
  <c r="H9" i="7"/>
  <c r="H15" s="1"/>
  <c r="H28" s="1"/>
  <c r="H29" s="1"/>
  <c r="H9" i="6"/>
  <c r="Q9"/>
  <c r="Q15" s="1"/>
  <c r="Q9" i="7"/>
  <c r="N6" i="1"/>
  <c r="N9" i="7"/>
  <c r="N9" i="6"/>
  <c r="N15" s="1"/>
  <c r="O6" i="1"/>
  <c r="O9" i="7"/>
  <c r="O9" i="6"/>
  <c r="O15" s="1"/>
  <c r="T9" i="7"/>
  <c r="T9" i="6"/>
  <c r="X9" i="7"/>
  <c r="X9" i="6"/>
  <c r="U9"/>
  <c r="U9" i="7"/>
  <c r="R9"/>
  <c r="R9" i="6"/>
  <c r="S9" i="7"/>
  <c r="S9" i="6"/>
  <c r="L6" i="1"/>
  <c r="L9" i="7"/>
  <c r="L9" i="6"/>
  <c r="L15" s="1"/>
  <c r="P9" i="7"/>
  <c r="P9" i="6"/>
  <c r="P15" s="1"/>
  <c r="Y9"/>
  <c r="Y9" i="7"/>
  <c r="R21"/>
  <c r="O21"/>
  <c r="I21"/>
  <c r="I25" s="1"/>
  <c r="I28" s="1"/>
  <c r="X21"/>
  <c r="L21"/>
  <c r="U21"/>
  <c r="F25"/>
  <c r="F28" s="1"/>
  <c r="I21" i="6"/>
  <c r="I25" s="1"/>
  <c r="I28" s="1"/>
  <c r="I29" s="1"/>
  <c r="R21"/>
  <c r="U21"/>
  <c r="L21"/>
  <c r="X21"/>
  <c r="F25"/>
  <c r="F28" s="1"/>
  <c r="O21"/>
  <c r="K12" i="7"/>
  <c r="K20"/>
  <c r="J25"/>
  <c r="S12" i="6"/>
  <c r="R15"/>
  <c r="J25"/>
  <c r="K20"/>
  <c r="I18" i="1"/>
  <c r="L18"/>
  <c r="O18"/>
  <c r="H12"/>
  <c r="F22"/>
  <c r="C5" i="2"/>
  <c r="C6" s="1"/>
  <c r="I9" i="1"/>
  <c r="O10"/>
  <c r="F4"/>
  <c r="F12" s="1"/>
  <c r="J28" i="6" l="1"/>
  <c r="J29" s="1"/>
  <c r="H15"/>
  <c r="H28" s="1"/>
  <c r="H29" s="1"/>
  <c r="F7" i="1"/>
  <c r="F10" i="6"/>
  <c r="F10" i="7"/>
  <c r="I29"/>
  <c r="F35"/>
  <c r="G35" s="1"/>
  <c r="H35" s="1"/>
  <c r="F29"/>
  <c r="F34"/>
  <c r="G34" s="1"/>
  <c r="H34" s="1"/>
  <c r="I34" s="1"/>
  <c r="F29" i="6"/>
  <c r="F35"/>
  <c r="G35" s="1"/>
  <c r="F34"/>
  <c r="G34" s="1"/>
  <c r="J28" i="7"/>
  <c r="J29" s="1"/>
  <c r="L12"/>
  <c r="K15"/>
  <c r="L20"/>
  <c r="K25"/>
  <c r="T12" i="6"/>
  <c r="T15" s="1"/>
  <c r="S15"/>
  <c r="L20"/>
  <c r="K25"/>
  <c r="K28" s="1"/>
  <c r="D4" i="2"/>
  <c r="J9" i="1"/>
  <c r="I12"/>
  <c r="F25"/>
  <c r="H35" i="6" l="1"/>
  <c r="I35" s="1"/>
  <c r="J35" s="1"/>
  <c r="H34"/>
  <c r="I34" s="1"/>
  <c r="J34" s="1"/>
  <c r="K34" s="1"/>
  <c r="G11" i="7"/>
  <c r="G11" i="6"/>
  <c r="D5" i="2"/>
  <c r="G8" i="1"/>
  <c r="I35" i="7"/>
  <c r="J35" s="1"/>
  <c r="J34"/>
  <c r="L25"/>
  <c r="M20"/>
  <c r="M12"/>
  <c r="L15"/>
  <c r="K28"/>
  <c r="U12" i="6"/>
  <c r="K29"/>
  <c r="L25"/>
  <c r="L28" s="1"/>
  <c r="M20"/>
  <c r="K9" i="1"/>
  <c r="J12"/>
  <c r="F28"/>
  <c r="G22"/>
  <c r="G25" s="1"/>
  <c r="D6" i="2" l="1"/>
  <c r="E4" s="1"/>
  <c r="G10" i="6"/>
  <c r="G10" i="7"/>
  <c r="G7" i="1"/>
  <c r="L28" i="7"/>
  <c r="L29" s="1"/>
  <c r="M25"/>
  <c r="N20"/>
  <c r="N12"/>
  <c r="M15"/>
  <c r="K29"/>
  <c r="K34"/>
  <c r="K35" i="6"/>
  <c r="U15"/>
  <c r="V12"/>
  <c r="N20"/>
  <c r="M25"/>
  <c r="M28" s="1"/>
  <c r="L29"/>
  <c r="L34"/>
  <c r="L9" i="1"/>
  <c r="K12"/>
  <c r="G28"/>
  <c r="H22"/>
  <c r="H25" s="1"/>
  <c r="I22"/>
  <c r="J22"/>
  <c r="H11" i="7" l="1"/>
  <c r="H8" i="1"/>
  <c r="H11" i="6"/>
  <c r="E5" i="2"/>
  <c r="H10" i="7" s="1"/>
  <c r="L34"/>
  <c r="L35" i="6"/>
  <c r="O12" i="7"/>
  <c r="N15"/>
  <c r="O20"/>
  <c r="N25"/>
  <c r="K35"/>
  <c r="L35" s="1"/>
  <c r="M28"/>
  <c r="V15" i="6"/>
  <c r="W12"/>
  <c r="M29"/>
  <c r="M34"/>
  <c r="O20"/>
  <c r="N25"/>
  <c r="N28" s="1"/>
  <c r="M9" i="1"/>
  <c r="L12"/>
  <c r="H28"/>
  <c r="I25"/>
  <c r="K22"/>
  <c r="J25"/>
  <c r="H7" l="1"/>
  <c r="E6" i="2"/>
  <c r="F4" s="1"/>
  <c r="I11" i="7" s="1"/>
  <c r="H10" i="6"/>
  <c r="M35"/>
  <c r="O25" i="7"/>
  <c r="P20"/>
  <c r="N28"/>
  <c r="M34"/>
  <c r="M29"/>
  <c r="P12"/>
  <c r="O15"/>
  <c r="O25" i="6"/>
  <c r="O28" s="1"/>
  <c r="O29" s="1"/>
  <c r="P20"/>
  <c r="W15"/>
  <c r="X12"/>
  <c r="N29"/>
  <c r="N34"/>
  <c r="N9" i="1"/>
  <c r="M12"/>
  <c r="I28"/>
  <c r="J28" s="1"/>
  <c r="L22"/>
  <c r="K25"/>
  <c r="I8" l="1"/>
  <c r="I11" i="6"/>
  <c r="F5" i="2"/>
  <c r="F6" s="1"/>
  <c r="G4" s="1"/>
  <c r="N35" i="6"/>
  <c r="O35" s="1"/>
  <c r="P25" i="7"/>
  <c r="Q20"/>
  <c r="M35"/>
  <c r="O28"/>
  <c r="Q12"/>
  <c r="P15"/>
  <c r="N29"/>
  <c r="N34"/>
  <c r="O34" i="6"/>
  <c r="Q20"/>
  <c r="P25"/>
  <c r="P28" s="1"/>
  <c r="X15"/>
  <c r="Y12"/>
  <c r="O9" i="1"/>
  <c r="N12"/>
  <c r="K28"/>
  <c r="M22"/>
  <c r="L25"/>
  <c r="I10" i="7" l="1"/>
  <c r="I7" i="1"/>
  <c r="I10" i="6"/>
  <c r="N35" i="7"/>
  <c r="R12"/>
  <c r="Q15"/>
  <c r="Q25"/>
  <c r="R20"/>
  <c r="P28"/>
  <c r="O29"/>
  <c r="O34"/>
  <c r="P34" i="6"/>
  <c r="P29"/>
  <c r="P35" s="1"/>
  <c r="R20"/>
  <c r="Q25"/>
  <c r="Q28" s="1"/>
  <c r="L28" i="1"/>
  <c r="O22"/>
  <c r="N22"/>
  <c r="M25"/>
  <c r="J11" i="6" l="1"/>
  <c r="J11" i="7"/>
  <c r="G5" i="2"/>
  <c r="G6" s="1"/>
  <c r="J8" i="1"/>
  <c r="O35" i="7"/>
  <c r="Q28"/>
  <c r="Q29" s="1"/>
  <c r="P34"/>
  <c r="P29"/>
  <c r="S12"/>
  <c r="R15"/>
  <c r="S20"/>
  <c r="R25"/>
  <c r="Q34" i="6"/>
  <c r="Q29"/>
  <c r="Q35" s="1"/>
  <c r="R25"/>
  <c r="R28" s="1"/>
  <c r="R29" s="1"/>
  <c r="S20"/>
  <c r="M28" i="1"/>
  <c r="N25"/>
  <c r="J10" i="7" l="1"/>
  <c r="J7" i="1"/>
  <c r="J10" i="6"/>
  <c r="H4" i="2"/>
  <c r="P35" i="7"/>
  <c r="Q35" s="1"/>
  <c r="Q34"/>
  <c r="R28"/>
  <c r="R29" s="1"/>
  <c r="S15"/>
  <c r="T12"/>
  <c r="S25"/>
  <c r="T20"/>
  <c r="R35" i="6"/>
  <c r="R34"/>
  <c r="T20"/>
  <c r="S25"/>
  <c r="S28" s="1"/>
  <c r="S29" s="1"/>
  <c r="N28" i="1"/>
  <c r="R34" i="7" l="1"/>
  <c r="S35" i="6"/>
  <c r="R35" i="7"/>
  <c r="T25"/>
  <c r="U20"/>
  <c r="U12"/>
  <c r="T15"/>
  <c r="S28"/>
  <c r="S34" i="6"/>
  <c r="U20"/>
  <c r="T25"/>
  <c r="T28" s="1"/>
  <c r="T29" s="1"/>
  <c r="K11" i="7" l="1"/>
  <c r="K11" i="6"/>
  <c r="H5" i="2"/>
  <c r="H6" s="1"/>
  <c r="K8" i="1"/>
  <c r="T35" i="6"/>
  <c r="U25" i="7"/>
  <c r="V20"/>
  <c r="S29"/>
  <c r="S35" s="1"/>
  <c r="S34"/>
  <c r="T28"/>
  <c r="V12"/>
  <c r="U15"/>
  <c r="T34" i="6"/>
  <c r="V20"/>
  <c r="U25"/>
  <c r="U28" s="1"/>
  <c r="U29" s="1"/>
  <c r="U35" l="1"/>
  <c r="K10" i="7"/>
  <c r="K7" i="1"/>
  <c r="K10" i="6"/>
  <c r="I4" i="2"/>
  <c r="W12" i="7"/>
  <c r="V15"/>
  <c r="T34"/>
  <c r="T29"/>
  <c r="T35" s="1"/>
  <c r="U28"/>
  <c r="W20"/>
  <c r="V25"/>
  <c r="U34" i="6"/>
  <c r="W20"/>
  <c r="V25"/>
  <c r="V28" s="1"/>
  <c r="V29" s="1"/>
  <c r="V35" l="1"/>
  <c r="V28" i="7"/>
  <c r="V29" s="1"/>
  <c r="W25"/>
  <c r="X20"/>
  <c r="U34"/>
  <c r="U29"/>
  <c r="U35" s="1"/>
  <c r="W15"/>
  <c r="X12"/>
  <c r="Y12" s="1"/>
  <c r="V34" i="6"/>
  <c r="X20"/>
  <c r="W25"/>
  <c r="W28" s="1"/>
  <c r="W29" s="1"/>
  <c r="L11" i="7" l="1"/>
  <c r="L11" i="6"/>
  <c r="W35"/>
  <c r="I5" i="2"/>
  <c r="I6" s="1"/>
  <c r="L8" i="1"/>
  <c r="Z12" i="7"/>
  <c r="Y15"/>
  <c r="V34"/>
  <c r="W28"/>
  <c r="W29" s="1"/>
  <c r="X25"/>
  <c r="Y20"/>
  <c r="V35"/>
  <c r="X15"/>
  <c r="W34" i="6"/>
  <c r="Y20"/>
  <c r="Y25" s="1"/>
  <c r="X25"/>
  <c r="X28" s="1"/>
  <c r="X29" s="1"/>
  <c r="X35" l="1"/>
  <c r="L7" i="1"/>
  <c r="L10" i="6"/>
  <c r="L10" i="7"/>
  <c r="J4" i="2"/>
  <c r="Y25" i="7"/>
  <c r="Y28" s="1"/>
  <c r="Y29" s="1"/>
  <c r="Z20"/>
  <c r="AA12"/>
  <c r="Z15"/>
  <c r="W34"/>
  <c r="X28"/>
  <c r="W35"/>
  <c r="X34" i="6"/>
  <c r="AB12" i="7" l="1"/>
  <c r="AA15"/>
  <c r="Z25"/>
  <c r="Z28" s="1"/>
  <c r="AA20"/>
  <c r="X34"/>
  <c r="Y34" s="1"/>
  <c r="X29"/>
  <c r="X35" s="1"/>
  <c r="M11" i="6" l="1"/>
  <c r="M11" i="7"/>
  <c r="J5" i="2"/>
  <c r="J6" s="1"/>
  <c r="M8" i="1"/>
  <c r="AC12" i="7"/>
  <c r="AB15"/>
  <c r="AB20"/>
  <c r="AA25"/>
  <c r="AA28" s="1"/>
  <c r="Z29"/>
  <c r="Z34"/>
  <c r="Y35"/>
  <c r="M10" i="6" l="1"/>
  <c r="M7" i="1"/>
  <c r="M10" i="7"/>
  <c r="K4" i="2"/>
  <c r="AA29" i="7"/>
  <c r="AA34"/>
  <c r="AD12"/>
  <c r="AC15"/>
  <c r="Z35"/>
  <c r="AC20"/>
  <c r="AB25"/>
  <c r="AB28" s="1"/>
  <c r="AB29" s="1"/>
  <c r="AA35" l="1"/>
  <c r="AB35" s="1"/>
  <c r="AD15"/>
  <c r="AE12"/>
  <c r="AD20"/>
  <c r="AC25"/>
  <c r="AC28" s="1"/>
  <c r="AC29" s="1"/>
  <c r="AB34"/>
  <c r="N11" i="6" l="1"/>
  <c r="N11" i="7"/>
  <c r="K5" i="2"/>
  <c r="K6" s="1"/>
  <c r="N8" i="1"/>
  <c r="AC34" i="7"/>
  <c r="AE20"/>
  <c r="AD25"/>
  <c r="AD28" s="1"/>
  <c r="AF12"/>
  <c r="AE15"/>
  <c r="AC35"/>
  <c r="N10" i="6" l="1"/>
  <c r="N7" i="1"/>
  <c r="N10" i="7"/>
  <c r="L4" i="2"/>
  <c r="AD29" i="7"/>
  <c r="AD35" s="1"/>
  <c r="AD34"/>
  <c r="AF15"/>
  <c r="AG12"/>
  <c r="AE25"/>
  <c r="AE28" s="1"/>
  <c r="AF20"/>
  <c r="AE29" l="1"/>
  <c r="AE35" s="1"/>
  <c r="AE34"/>
  <c r="AH12"/>
  <c r="AG15"/>
  <c r="AG20"/>
  <c r="AF25"/>
  <c r="AF28" s="1"/>
  <c r="AF29" s="1"/>
  <c r="O11" l="1"/>
  <c r="O11" i="6"/>
  <c r="L5" i="2"/>
  <c r="L6" s="1"/>
  <c r="O8" i="1"/>
  <c r="AF35" i="7"/>
  <c r="AH15"/>
  <c r="AI12"/>
  <c r="AH20"/>
  <c r="AG25"/>
  <c r="AG28" s="1"/>
  <c r="AG29" s="1"/>
  <c r="AF34"/>
  <c r="O10" i="6" l="1"/>
  <c r="O10" i="7"/>
  <c r="O7" i="1"/>
  <c r="M4" i="2"/>
  <c r="AG34" i="7"/>
  <c r="AH25"/>
  <c r="AH28" s="1"/>
  <c r="AH29" s="1"/>
  <c r="AI20"/>
  <c r="AI25" s="1"/>
  <c r="AG35"/>
  <c r="O11" i="1" l="1"/>
  <c r="O12" s="1"/>
  <c r="O25" s="1"/>
  <c r="F30" s="1"/>
  <c r="AH34" i="7"/>
  <c r="AH35"/>
  <c r="M5" i="2" l="1"/>
  <c r="P11" i="7"/>
  <c r="P11" i="6"/>
  <c r="F8" i="5"/>
  <c r="F9" s="1"/>
  <c r="O28" i="1"/>
  <c r="M6" i="2" l="1"/>
  <c r="P10" i="7"/>
  <c r="P10" i="6"/>
  <c r="N4" i="2" l="1"/>
  <c r="N5" l="1"/>
  <c r="Q11" i="6"/>
  <c r="Q11" i="7"/>
  <c r="N6" i="2" l="1"/>
  <c r="Q10" i="7"/>
  <c r="Q10" i="6"/>
  <c r="O4" i="2" l="1"/>
  <c r="O5" l="1"/>
  <c r="R11" i="7"/>
  <c r="R11" i="6"/>
  <c r="R10" i="7" l="1"/>
  <c r="R10" i="6"/>
  <c r="O6" i="2"/>
  <c r="P4" s="1"/>
  <c r="P5" l="1"/>
  <c r="S11" i="6"/>
  <c r="S11" i="7"/>
  <c r="S10" i="6" l="1"/>
  <c r="S10" i="7"/>
  <c r="P6" i="2"/>
  <c r="Q4" s="1"/>
  <c r="Q5" l="1"/>
  <c r="T11" i="6"/>
  <c r="T11" i="7"/>
  <c r="T10" l="1"/>
  <c r="T10" i="6"/>
  <c r="Q6" i="2"/>
  <c r="R4" s="1"/>
  <c r="U11" i="7" l="1"/>
  <c r="R5" i="2"/>
  <c r="R6" s="1"/>
  <c r="U11" i="6"/>
  <c r="S4" i="2" l="1"/>
  <c r="U10" i="6"/>
  <c r="U10" i="7"/>
  <c r="V11" i="6" l="1"/>
  <c r="V11" i="7"/>
  <c r="S5" i="2"/>
  <c r="V10" i="7" l="1"/>
  <c r="V10" i="6"/>
  <c r="S6" i="2"/>
  <c r="T4" l="1"/>
  <c r="T5" l="1"/>
  <c r="W11" i="6"/>
  <c r="W11" i="7"/>
  <c r="W10" i="6" l="1"/>
  <c r="W10" i="7"/>
  <c r="T6" i="2"/>
  <c r="U4" l="1"/>
  <c r="U5" l="1"/>
  <c r="X11" i="7"/>
  <c r="X11" i="6"/>
  <c r="X10" l="1"/>
  <c r="X10" i="7"/>
  <c r="U6" i="2"/>
  <c r="V4" l="1"/>
  <c r="V5" l="1"/>
  <c r="Y11" i="7"/>
  <c r="Y11" i="6"/>
  <c r="Y10" i="7" l="1"/>
  <c r="Y10" i="6"/>
  <c r="V6" i="2"/>
  <c r="Y14" i="6" l="1"/>
  <c r="Y15" s="1"/>
  <c r="Y28" s="1"/>
  <c r="F37" s="1"/>
  <c r="W4" i="2"/>
  <c r="W5" l="1"/>
  <c r="Z11" i="7"/>
  <c r="G8" i="5"/>
  <c r="G9" s="1"/>
  <c r="Y34" i="6"/>
  <c r="Y29"/>
  <c r="F38" s="1"/>
  <c r="Z10" i="7" l="1"/>
  <c r="W6" i="2"/>
  <c r="Y35" i="6"/>
  <c r="X4" i="2" l="1"/>
  <c r="X5" l="1"/>
  <c r="AA11" i="7"/>
  <c r="AA10" l="1"/>
  <c r="X6" i="2"/>
  <c r="Y4" l="1"/>
  <c r="Y5" l="1"/>
  <c r="AB11" i="7"/>
  <c r="AB10" l="1"/>
  <c r="Y6" i="2"/>
  <c r="Z4" l="1"/>
  <c r="AC11" i="7" l="1"/>
  <c r="Z5" i="2"/>
  <c r="AC10" i="7" l="1"/>
  <c r="Z6" i="2"/>
  <c r="AA4" l="1"/>
  <c r="AA5" l="1"/>
  <c r="AD11" i="7"/>
  <c r="AD10" l="1"/>
  <c r="AA6" i="2"/>
  <c r="AB4" l="1"/>
  <c r="AB5" l="1"/>
  <c r="AE11" i="7"/>
  <c r="AE10" l="1"/>
  <c r="AB6" i="2"/>
  <c r="AC4" l="1"/>
  <c r="AF11" i="7" l="1"/>
  <c r="AC5" i="2"/>
  <c r="AF10" i="7" l="1"/>
  <c r="AC6" i="2"/>
  <c r="AD4" l="1"/>
  <c r="AD5" l="1"/>
  <c r="AG11" i="7"/>
  <c r="AG10" l="1"/>
  <c r="AD6" i="2"/>
  <c r="AE4" l="1"/>
  <c r="AE5" l="1"/>
  <c r="AH11" i="7"/>
  <c r="AH10" l="1"/>
  <c r="AE6" i="2"/>
  <c r="AF4" l="1"/>
  <c r="AF5" l="1"/>
  <c r="AI11" i="7"/>
  <c r="AI10" l="1"/>
  <c r="AF6" i="2"/>
  <c r="AG4" l="1"/>
  <c r="AG5" s="1"/>
  <c r="AG6" s="1"/>
  <c r="AI14" i="7"/>
  <c r="AI15" s="1"/>
  <c r="AI28" s="1"/>
  <c r="F37" s="1"/>
  <c r="AH4" i="2" l="1"/>
  <c r="AH5" s="1"/>
  <c r="AH6" s="1"/>
  <c r="AI34" i="7"/>
  <c r="AI29"/>
  <c r="F38" s="1"/>
  <c r="H8" i="5"/>
  <c r="H9" s="1"/>
  <c r="AI4" i="2" l="1"/>
  <c r="AI5" s="1"/>
  <c r="AI6" s="1"/>
  <c r="AI35" i="7"/>
  <c r="AJ4" i="2" l="1"/>
  <c r="AJ5" s="1"/>
  <c r="AJ6" s="1"/>
  <c r="AK4" l="1"/>
  <c r="AK5" s="1"/>
  <c r="AK6" s="1"/>
  <c r="AL4" l="1"/>
  <c r="AL5" s="1"/>
  <c r="AL6" s="1"/>
  <c r="AM4" l="1"/>
  <c r="AM5" s="1"/>
  <c r="AM6" s="1"/>
  <c r="AN4" l="1"/>
  <c r="AN5" s="1"/>
  <c r="AN6" s="1"/>
  <c r="AO4" l="1"/>
  <c r="AO5" s="1"/>
  <c r="AO6" s="1"/>
  <c r="AP4" l="1"/>
  <c r="AP5" s="1"/>
  <c r="AP6" s="1"/>
  <c r="AQ4" l="1"/>
  <c r="AQ5" s="1"/>
  <c r="AQ6" s="1"/>
  <c r="AR4" l="1"/>
  <c r="AR5" s="1"/>
  <c r="AR6" s="1"/>
  <c r="AS4" l="1"/>
  <c r="AS5" s="1"/>
  <c r="AS6"/>
  <c r="AT4" l="1"/>
  <c r="AT5" s="1"/>
  <c r="AT6" s="1"/>
  <c r="AU4" l="1"/>
  <c r="AU5" s="1"/>
  <c r="AU6" s="1"/>
  <c r="AV4" l="1"/>
  <c r="AV5" s="1"/>
  <c r="AV6" s="1"/>
  <c r="AW4" l="1"/>
  <c r="AW5" s="1"/>
  <c r="AW6" s="1"/>
  <c r="AX4" l="1"/>
  <c r="AX5" s="1"/>
  <c r="AX6" s="1"/>
  <c r="AY4" l="1"/>
  <c r="AY5" s="1"/>
  <c r="AY6" s="1"/>
  <c r="AZ4" l="1"/>
  <c r="AZ5" s="1"/>
  <c r="AZ6"/>
</calcChain>
</file>

<file path=xl/comments1.xml><?xml version="1.0" encoding="utf-8"?>
<comments xmlns="http://schemas.openxmlformats.org/spreadsheetml/2006/main">
  <authors>
    <author>Marcin Iwuc</author>
    <author>Marcin</author>
  </authors>
  <commentList>
    <comment ref="E8" authorId="0">
      <text>
        <r>
          <rPr>
            <b/>
            <sz val="9"/>
            <color indexed="81"/>
            <rFont val="Tahoma"/>
            <family val="2"/>
          </rPr>
          <t>Marcin Iwuc:</t>
        </r>
        <r>
          <rPr>
            <sz val="9"/>
            <color indexed="81"/>
            <rFont val="Tahoma"/>
            <family val="2"/>
          </rPr>
          <t xml:space="preserve">
</t>
        </r>
        <r>
          <rPr>
            <sz val="12"/>
            <color indexed="81"/>
            <rFont val="Tahoma"/>
            <family val="2"/>
            <charset val="238"/>
          </rPr>
          <t>Jeżeli wartość jest DODATNIA, to bardziej opłaca się KUPIĆ.
Im wyższa jest wartość, tym bardziej opłacalny jest zakup.
Jeżeli wartość jest UJEMNA, to bardziej opłaca się WYNAJĄĆ.
Im niższa jest wartość, tym bardziej opłacalny jest NAJEM.
W praktyce liczymy tutaj NPV (Net Present Value) dyskontując przepływy pieniężne stopą zwrotu przy jakiej inwestujemy nadwyżki finansowe.</t>
        </r>
      </text>
    </comment>
    <comment ref="C9" authorId="0">
      <text>
        <r>
          <rPr>
            <b/>
            <sz val="9"/>
            <color indexed="81"/>
            <rFont val="Tahoma"/>
            <family val="2"/>
          </rPr>
          <t>Marcin Iwuc:</t>
        </r>
        <r>
          <rPr>
            <sz val="9"/>
            <color indexed="81"/>
            <rFont val="Tahoma"/>
            <family val="2"/>
          </rPr>
          <t xml:space="preserve">
</t>
        </r>
        <r>
          <rPr>
            <sz val="11"/>
            <color indexed="81"/>
            <rFont val="Tahoma"/>
            <family val="2"/>
          </rPr>
          <t>Będą się one różnić w zależności od tego, jaką taksę pobierze notariusz, ile stron ma akt notarialny, ile potrzebujemy wypisów aktu notarialnego, czy mieszkanie ma już urządzoną księgę wieczystą, itp.
Dlatego w Twoim indywidualnym przypadku oszacuj te koszty samodzielnie. Przydatny może być kalkulator na stronie:
http://www.bankier.pl/kalkulatory/kupno-nieruchomosci/</t>
        </r>
      </text>
    </comment>
    <comment ref="A10" authorId="0">
      <text>
        <r>
          <rPr>
            <b/>
            <sz val="9"/>
            <color indexed="81"/>
            <rFont val="Tahoma"/>
            <family val="2"/>
          </rPr>
          <t>Marcin Iwuc:</t>
        </r>
        <r>
          <rPr>
            <sz val="9"/>
            <color indexed="81"/>
            <rFont val="Tahoma"/>
            <family val="2"/>
          </rPr>
          <t xml:space="preserve">
</t>
        </r>
        <r>
          <rPr>
            <sz val="11"/>
            <color indexed="81"/>
            <rFont val="Tahoma"/>
            <family val="2"/>
          </rPr>
          <t>Tu wprowadź stawkę wynagrodzenia, na jaką umówiłeś się z agentem nieruchomości. Jeśli nie korzystasz z pośrednictwa, wpisz po prostu 0%</t>
        </r>
      </text>
    </comment>
    <comment ref="A12" authorId="0">
      <text>
        <r>
          <rPr>
            <b/>
            <sz val="9"/>
            <color indexed="81"/>
            <rFont val="Tahoma"/>
            <family val="2"/>
          </rPr>
          <t>Marcin Iwuc:</t>
        </r>
        <r>
          <rPr>
            <sz val="9"/>
            <color indexed="81"/>
            <rFont val="Tahoma"/>
            <family val="2"/>
          </rPr>
          <t xml:space="preserve">
</t>
        </r>
        <r>
          <rPr>
            <sz val="11"/>
            <color indexed="81"/>
            <rFont val="Tahoma"/>
            <family val="2"/>
          </rPr>
          <t>W przypadku zakupu na rynku wtórnym kupujący płaci podatek od czynności cywilnoprawnych, który wynosi 2% ceny mieszkania. Jeśli nie kupujesz na rynku wtórnym, to wprowadź w to pole wartość 0%</t>
        </r>
      </text>
    </comment>
    <comment ref="C14" authorId="0">
      <text>
        <r>
          <rPr>
            <b/>
            <sz val="9"/>
            <color indexed="81"/>
            <rFont val="Tahoma"/>
            <family val="2"/>
          </rPr>
          <t>Marcin Iwuc:</t>
        </r>
        <r>
          <rPr>
            <sz val="9"/>
            <color indexed="81"/>
            <rFont val="Tahoma"/>
            <family val="2"/>
          </rPr>
          <t xml:space="preserve">
</t>
        </r>
        <r>
          <rPr>
            <sz val="11"/>
            <color indexed="81"/>
            <rFont val="Tahoma"/>
            <family val="2"/>
          </rPr>
          <t>Wprowadź oprocentowanie swojego kredytu. Pamiętaj, że dziś (styczeń 2014 roku) stopy procentowe są na bardzo niskim poziomie, więc załóż, że w dłuższym okresie mogą być nieco wyższe.</t>
        </r>
      </text>
    </comment>
    <comment ref="A16" authorId="0">
      <text>
        <r>
          <rPr>
            <b/>
            <sz val="9"/>
            <color indexed="81"/>
            <rFont val="Tahoma"/>
            <family val="2"/>
          </rPr>
          <t>Marcin Iwuc:</t>
        </r>
        <r>
          <rPr>
            <sz val="9"/>
            <color indexed="81"/>
            <rFont val="Tahoma"/>
            <family val="2"/>
          </rPr>
          <t xml:space="preserve">
</t>
        </r>
        <r>
          <rPr>
            <sz val="11"/>
            <color indexed="81"/>
            <rFont val="Tahoma"/>
            <family val="2"/>
          </rPr>
          <t>Tu wpisz wartość prowizji, jaką za udzielenie kredytu życzy sobie bank, wyrażoną jako % kwoty kredytu</t>
        </r>
      </text>
    </comment>
    <comment ref="C18" authorId="0">
      <text>
        <r>
          <rPr>
            <b/>
            <sz val="9"/>
            <color indexed="81"/>
            <rFont val="Tahoma"/>
            <family val="2"/>
          </rPr>
          <t>Marcin Iwuc:</t>
        </r>
        <r>
          <rPr>
            <sz val="9"/>
            <color indexed="81"/>
            <rFont val="Tahoma"/>
            <family val="2"/>
          </rPr>
          <t xml:space="preserve">
</t>
        </r>
        <r>
          <rPr>
            <sz val="11"/>
            <color indexed="81"/>
            <rFont val="Tahoma"/>
            <family val="2"/>
          </rPr>
          <t>Wpisz wysokość rocznej składki z tytułu ubezpieczenia od pożaru i innych zdarzeń losowych. Najczęściej musisz zrobić zesję takiej polisy na bank. Jeśli ponosisz inne koszty ubezpieczeń, uwzględnij je tutaj.</t>
        </r>
      </text>
    </comment>
    <comment ref="C21" authorId="0">
      <text>
        <r>
          <rPr>
            <b/>
            <sz val="9"/>
            <color indexed="81"/>
            <rFont val="Tahoma"/>
            <family val="2"/>
          </rPr>
          <t>Marcin Iwuc:</t>
        </r>
        <r>
          <rPr>
            <sz val="9"/>
            <color indexed="81"/>
            <rFont val="Tahoma"/>
            <family val="2"/>
          </rPr>
          <t xml:space="preserve">
</t>
        </r>
        <r>
          <rPr>
            <sz val="11"/>
            <color indexed="81"/>
            <rFont val="Tahoma"/>
            <family val="2"/>
          </rPr>
          <t>Co jakiś czas we własnym mieszkaniu trzeba zrobić co najmniej odświeżenia, a czasami nawet większy remont. Zakładając na przykład, że taki remont wykonamy raz na 5 lat i zapłacimy 20 000 zł, to w tę komórke wpisujemy 20 000 przez 5 lat = 4 000 zł</t>
        </r>
      </text>
    </comment>
    <comment ref="C24" authorId="0">
      <text>
        <r>
          <rPr>
            <b/>
            <sz val="9"/>
            <color indexed="81"/>
            <rFont val="Tahoma"/>
            <family val="2"/>
          </rPr>
          <t>Marcin Iwuc:</t>
        </r>
        <r>
          <rPr>
            <sz val="9"/>
            <color indexed="81"/>
            <rFont val="Tahoma"/>
            <family val="2"/>
          </rPr>
          <t xml:space="preserve">
</t>
        </r>
        <r>
          <rPr>
            <sz val="11"/>
            <color indexed="81"/>
            <rFont val="Tahoma"/>
            <family val="2"/>
          </rPr>
          <t>Tutaj wpisz wszelkie inne koszty, o których wiesz, że będziesz je ponosił, a których nie ma w arkuszu. Ważna sprawa: wpisz je w ujęciu rocznym. Jeśli miesięcznie płacisz 100 zł, to wprowadź tu wartość 1200 zł</t>
        </r>
      </text>
    </comment>
    <comment ref="A29" authorId="0">
      <text>
        <r>
          <rPr>
            <b/>
            <sz val="9"/>
            <color indexed="81"/>
            <rFont val="Tahoma"/>
            <family val="2"/>
          </rPr>
          <t>Marcin Iwuc:</t>
        </r>
        <r>
          <rPr>
            <sz val="9"/>
            <color indexed="81"/>
            <rFont val="Tahoma"/>
            <family val="2"/>
          </rPr>
          <t xml:space="preserve">
</t>
        </r>
        <r>
          <rPr>
            <sz val="11"/>
            <color indexed="81"/>
            <rFont val="Tahoma"/>
            <family val="2"/>
          </rPr>
          <t>Założyem, że raz na 3 lata nastąpi zmiana mieszkania i trzeba będzie zapłacić pośrednikowi prowizję w wysokości 50% czynszu najmu</t>
        </r>
      </text>
    </comment>
    <comment ref="C30" authorId="0">
      <text>
        <r>
          <rPr>
            <b/>
            <sz val="9"/>
            <color indexed="81"/>
            <rFont val="Tahoma"/>
            <family val="2"/>
          </rPr>
          <t>Marcin Iwuc:</t>
        </r>
        <r>
          <rPr>
            <sz val="9"/>
            <color indexed="81"/>
            <rFont val="Tahoma"/>
            <family val="2"/>
          </rPr>
          <t xml:space="preserve">
</t>
        </r>
        <r>
          <rPr>
            <sz val="11"/>
            <color indexed="81"/>
            <rFont val="Tahoma"/>
            <family val="2"/>
          </rPr>
          <t xml:space="preserve">Tutaj wpisz miesięczną kwotę wszsytkich kosztów, które ponosisz z tytułu wynajmu poza samym czynszem
</t>
        </r>
      </text>
    </comment>
    <comment ref="C31" authorId="0">
      <text>
        <r>
          <rPr>
            <b/>
            <sz val="9"/>
            <color indexed="81"/>
            <rFont val="Tahoma"/>
            <family val="2"/>
          </rPr>
          <t>Marcin Iwuc:</t>
        </r>
        <r>
          <rPr>
            <sz val="9"/>
            <color indexed="81"/>
            <rFont val="Tahoma"/>
            <family val="2"/>
          </rPr>
          <t xml:space="preserve">
</t>
        </r>
        <r>
          <rPr>
            <sz val="11"/>
            <color indexed="81"/>
            <rFont val="Tahoma"/>
            <family val="2"/>
          </rPr>
          <t xml:space="preserve">Założyłem, że raz na 3 lata się przeprowadzamy, a za przewiezienie części naszych rzeczy trzeba będzie zapłacić </t>
        </r>
      </text>
    </comment>
    <comment ref="C32" authorId="1">
      <text>
        <r>
          <rPr>
            <b/>
            <sz val="9"/>
            <color indexed="81"/>
            <rFont val="Tahoma"/>
            <family val="2"/>
            <charset val="238"/>
          </rPr>
          <t>Marcin:</t>
        </r>
        <r>
          <rPr>
            <sz val="9"/>
            <color indexed="81"/>
            <rFont val="Tahoma"/>
            <family val="2"/>
            <charset val="238"/>
          </rPr>
          <t xml:space="preserve">
</t>
        </r>
        <r>
          <rPr>
            <sz val="11"/>
            <color indexed="81"/>
            <rFont val="Tahoma"/>
            <family val="2"/>
            <charset val="238"/>
          </rPr>
          <t>To możesz wpisać inne koszty w ujęciu rocznym, które Twoim zdaniem należy jeszcze uwzględnić</t>
        </r>
      </text>
    </comment>
    <comment ref="C35" authorId="0">
      <text>
        <r>
          <rPr>
            <b/>
            <sz val="9"/>
            <color indexed="81"/>
            <rFont val="Tahoma"/>
            <family val="2"/>
          </rPr>
          <t>Marcin Iwuc:</t>
        </r>
        <r>
          <rPr>
            <sz val="9"/>
            <color indexed="81"/>
            <rFont val="Tahoma"/>
            <family val="2"/>
          </rPr>
          <t xml:space="preserve">
</t>
        </r>
        <r>
          <rPr>
            <sz val="11"/>
            <color indexed="81"/>
            <rFont val="Tahoma"/>
            <family val="2"/>
          </rPr>
          <t>Zakładana stopa inflacji o którą będą rosły różnego rodzaju opłaty i koszty, czynsze itp..</t>
        </r>
      </text>
    </comment>
    <comment ref="C36" authorId="0">
      <text>
        <r>
          <rPr>
            <b/>
            <sz val="9"/>
            <color indexed="81"/>
            <rFont val="Tahoma"/>
            <family val="2"/>
          </rPr>
          <t>Marcin Iwuc:</t>
        </r>
        <r>
          <rPr>
            <sz val="9"/>
            <color indexed="81"/>
            <rFont val="Tahoma"/>
            <family val="2"/>
          </rPr>
          <t xml:space="preserve">
</t>
        </r>
        <r>
          <rPr>
            <sz val="11"/>
            <color indexed="81"/>
            <rFont val="Tahoma"/>
            <family val="2"/>
          </rPr>
          <t xml:space="preserve">Tutaj wpisz o ile Twoim zdaniem będż rosły ceny nieruchomości.
Chodzi o ŚREDNIOROCZNY wzrost cen w całym okresie (10, 20, 30 lat)
W bazowym scenariusz zakłądam, że będzie to wzrost równy inflacji.
Jeśli zakładasz, że ceny nieruchomości spadną, wpisz wartość ze znakiem minus (np. -2%). To moim zdaniem jest jednak mało prawdopodobne w całym okresie (10, 20, 30 lat) </t>
        </r>
        <r>
          <rPr>
            <sz val="9"/>
            <color indexed="81"/>
            <rFont val="Tahoma"/>
            <family val="2"/>
          </rPr>
          <t xml:space="preserve">
</t>
        </r>
      </text>
    </comment>
    <comment ref="B37" authorId="1">
      <text>
        <r>
          <rPr>
            <b/>
            <sz val="9"/>
            <color indexed="81"/>
            <rFont val="Tahoma"/>
            <family val="2"/>
            <charset val="238"/>
          </rPr>
          <t>Marcin:</t>
        </r>
        <r>
          <rPr>
            <sz val="9"/>
            <color indexed="81"/>
            <rFont val="Tahoma"/>
            <family val="2"/>
            <charset val="238"/>
          </rPr>
          <t xml:space="preserve">
</t>
        </r>
        <r>
          <rPr>
            <sz val="11"/>
            <color indexed="81"/>
            <rFont val="Tahoma"/>
            <family val="2"/>
            <charset val="238"/>
          </rPr>
          <t>Inwestycja alternatywna to taka inwestycja, w której lokujesz wszsytkie zaoszczędzone środki pozyskane w wyniku decyzji kup vs wynajmij</t>
        </r>
      </text>
    </comment>
    <comment ref="C37" authorId="0">
      <text>
        <r>
          <rPr>
            <b/>
            <sz val="9"/>
            <color indexed="81"/>
            <rFont val="Tahoma"/>
            <family val="2"/>
          </rPr>
          <t>Marcin Iwuc:</t>
        </r>
        <r>
          <rPr>
            <sz val="9"/>
            <color indexed="81"/>
            <rFont val="Tahoma"/>
            <family val="2"/>
          </rPr>
          <t xml:space="preserve">
</t>
        </r>
        <r>
          <rPr>
            <sz val="11"/>
            <color indexed="81"/>
            <rFont val="Tahoma"/>
            <family val="2"/>
          </rPr>
          <t>Tutaj wpisz roczną stopę zwrotu jaką Twoim zdaniem jesteś w stanie osiągnąć inwestując zaoszczędzone nadwyżki finansowe.
Ta stopa zwrotu jest wykorzystywana do obliczenia NPV (czyli przepływy są dyskontowane kosztem alternatywnym)</t>
        </r>
      </text>
    </comment>
  </commentList>
</comments>
</file>

<file path=xl/sharedStrings.xml><?xml version="1.0" encoding="utf-8"?>
<sst xmlns="http://schemas.openxmlformats.org/spreadsheetml/2006/main" count="221" uniqueCount="76">
  <si>
    <t>Koszty sądowe i notarialne:</t>
  </si>
  <si>
    <t>PCC:</t>
  </si>
  <si>
    <t>Kwota zaciągniętego kredytu:</t>
  </si>
  <si>
    <t>Oprocentowanie kredytu:</t>
  </si>
  <si>
    <t>Koszty wykończenia mieszkania:</t>
  </si>
  <si>
    <t>Prowizja za udzielenie kredytu:</t>
  </si>
  <si>
    <t>Roczny koszt ubezpieczenia:</t>
  </si>
  <si>
    <t>Prowizja dla agencji nieruchomości:</t>
  </si>
  <si>
    <t>Cena mieszkania:</t>
  </si>
  <si>
    <t>Kwota wkładu własnego i koszt wykończenia</t>
  </si>
  <si>
    <t>Zakładana stopa zwrotu z inwestycji alternatywnej</t>
  </si>
  <si>
    <t>Koszty napraw i remontów (urocznione):</t>
  </si>
  <si>
    <t>Cena sprzedaży mieszkania na koniec inwestycji</t>
  </si>
  <si>
    <t>Roczna opłata za użytkowanie wieczyste:</t>
  </si>
  <si>
    <t>Roczny podatek od nieruchomości:</t>
  </si>
  <si>
    <t>Zakładana roczna stopa inflacji:</t>
  </si>
  <si>
    <t>Roczne koszty utrzymania:</t>
  </si>
  <si>
    <t>ROK:</t>
  </si>
  <si>
    <t>Prowizja za udzielenie kredytu</t>
  </si>
  <si>
    <t>Cena sprzedaży:</t>
  </si>
  <si>
    <t>Łączny koszty nabycia mieszkania:</t>
  </si>
  <si>
    <t>Całkowita kwota spłaconych rat w danym roku:</t>
  </si>
  <si>
    <t xml:space="preserve">   W tym łączna kwota spłaconego kapitału:</t>
  </si>
  <si>
    <t>Spłata kredytu:</t>
  </si>
  <si>
    <t>PRZEPŁYWY PIENIĘŻNE ZWIĄZANE Z POSIADANIEM NIERUCHOMOŚCI</t>
  </si>
  <si>
    <t xml:space="preserve">PRZEPŁYWY PIENIĘŻNE ZWIĄZANE Z NAJMEM </t>
  </si>
  <si>
    <t>Założenia: ZAKUP MIESZKANIA:</t>
  </si>
  <si>
    <t>Założenia: NAJEM MIESZKANIA</t>
  </si>
  <si>
    <t>Miesięczny czynsz najmu:</t>
  </si>
  <si>
    <t>Prowizja dla agencji nieruchomości</t>
  </si>
  <si>
    <t>Inne opłaty (media, energia elektryczna, media):</t>
  </si>
  <si>
    <t>Koszty przeprowadzki:</t>
  </si>
  <si>
    <t>Inne</t>
  </si>
  <si>
    <t>Roczny czynsz najmu:</t>
  </si>
  <si>
    <t>Zakładana roczna stopa inflacji</t>
  </si>
  <si>
    <t>Własne mieszkanie vs najem</t>
  </si>
  <si>
    <t>Okres kredytowania w latach</t>
  </si>
  <si>
    <t>Rata</t>
  </si>
  <si>
    <t>Cześć kapitałowa</t>
  </si>
  <si>
    <t>Kapitał pozostały do spłacenia na końcu okresu</t>
  </si>
  <si>
    <t>Cześć odsetkowa</t>
  </si>
  <si>
    <t>Rok</t>
  </si>
  <si>
    <t>ROCZNA SUMA KOSZTÓW</t>
  </si>
  <si>
    <t>Miesięczne opłaty za energię elektryczną</t>
  </si>
  <si>
    <t xml:space="preserve">Miesięczny czynsz do wspólnoty/spółdzielni </t>
  </si>
  <si>
    <t>Inne: (rocznie)</t>
  </si>
  <si>
    <t>Skumulowana nadwyżka finansowa z posiadania własnej nieruchomości</t>
  </si>
  <si>
    <t>Założenia: STOPY ZWROTU, INFLACJI I KONSUMPCJI NADWYŻEK</t>
  </si>
  <si>
    <t>Zakładana konsumpcja nadwyżek</t>
  </si>
  <si>
    <t>Uwzględniając skłonność do konsumpcji nadwyżek</t>
  </si>
  <si>
    <t>Własne mieszkanie vs najem wraz ze skłonnością do konsumpcji nadwyżek</t>
  </si>
  <si>
    <t>Sprzedaż mieszkania po 10 latach</t>
  </si>
  <si>
    <t>Sprzedaż mieszkania po 20 latach</t>
  </si>
  <si>
    <t>NPV 1</t>
  </si>
  <si>
    <t>NPV 2</t>
  </si>
  <si>
    <t>Sprzedaż mieszkania po 30 latach</t>
  </si>
  <si>
    <t>Zakładana roczna zmiana cen nieruchomości:</t>
  </si>
  <si>
    <t xml:space="preserve">   W tym łączna kwota spłaconych odsetek:</t>
  </si>
  <si>
    <t>żółty</t>
  </si>
  <si>
    <t>w tych polach zmieniaj dane</t>
  </si>
  <si>
    <t>szary</t>
  </si>
  <si>
    <t>Inne miesięczne opłaty (media, energia elektryczna):</t>
  </si>
  <si>
    <t>Koszty wykończenia/remontu mieszkania:</t>
  </si>
  <si>
    <t>10 lat</t>
  </si>
  <si>
    <t>20 lat</t>
  </si>
  <si>
    <t>30 lat</t>
  </si>
  <si>
    <t>TUTAj NIE ZMIENIAJ</t>
  </si>
  <si>
    <t>ZAŁOŻEŃ!!!</t>
  </si>
  <si>
    <t>te pola przeliczą się samodzielnie, nie edytuj ich</t>
  </si>
  <si>
    <t>Prowizja dla agencji nieruchomości przy najmie</t>
  </si>
  <si>
    <t>PRZEPŁYWY PIENIĘŻNE ZAKUP:</t>
  </si>
  <si>
    <t>PRZEPŁYWY PIENIĘŻNE NAJEM:</t>
  </si>
  <si>
    <t>Co się bardziej opłaca?</t>
  </si>
  <si>
    <t>Na ile lat kupujemy nieruchomość?</t>
  </si>
  <si>
    <t>O jaką kwotę jesteśmy "do przodu" kupując zamiast wynajmując?</t>
  </si>
  <si>
    <t>Założenia: STOPY ZWROTU i INFLACJA</t>
  </si>
</sst>
</file>

<file path=xl/styles.xml><?xml version="1.0" encoding="utf-8"?>
<styleSheet xmlns="http://schemas.openxmlformats.org/spreadsheetml/2006/main">
  <numFmts count="5">
    <numFmt numFmtId="6" formatCode="#,##0\ &quot;zł&quot;;[Red]\-#,##0\ &quot;zł&quot;"/>
    <numFmt numFmtId="8" formatCode="#,##0.00\ &quot;zł&quot;;[Red]\-#,##0.00\ &quot;zł&quot;"/>
    <numFmt numFmtId="44" formatCode="_-* #,##0.00\ &quot;zł&quot;_-;\-* #,##0.00\ &quot;zł&quot;_-;_-* &quot;-&quot;??\ &quot;zł&quot;_-;_-@_-"/>
    <numFmt numFmtId="164" formatCode="#,##0\ &quot;zł&quot;"/>
    <numFmt numFmtId="165" formatCode="0.0%"/>
  </numFmts>
  <fonts count="15">
    <font>
      <sz val="11"/>
      <color theme="1"/>
      <name val="Calibri"/>
      <family val="2"/>
      <charset val="238"/>
      <scheme val="minor"/>
    </font>
    <font>
      <b/>
      <sz val="11"/>
      <color theme="1"/>
      <name val="Calibri"/>
      <family val="2"/>
      <scheme val="minor"/>
    </font>
    <font>
      <b/>
      <sz val="12"/>
      <color theme="1"/>
      <name val="Calibri"/>
      <family val="2"/>
      <scheme val="minor"/>
    </font>
    <font>
      <b/>
      <sz val="11"/>
      <color theme="1"/>
      <name val="Calibri"/>
      <family val="2"/>
      <charset val="238"/>
      <scheme val="minor"/>
    </font>
    <font>
      <b/>
      <sz val="16"/>
      <color theme="1"/>
      <name val="Calibri"/>
      <family val="2"/>
      <charset val="238"/>
      <scheme val="minor"/>
    </font>
    <font>
      <sz val="9"/>
      <color indexed="81"/>
      <name val="Tahoma"/>
      <family val="2"/>
    </font>
    <font>
      <b/>
      <sz val="9"/>
      <color indexed="81"/>
      <name val="Tahoma"/>
      <family val="2"/>
    </font>
    <font>
      <sz val="11"/>
      <color indexed="81"/>
      <name val="Tahoma"/>
      <family val="2"/>
    </font>
    <font>
      <b/>
      <sz val="11"/>
      <color rgb="FFFF0000"/>
      <name val="Calibri"/>
      <family val="2"/>
      <scheme val="minor"/>
    </font>
    <font>
      <sz val="11"/>
      <color theme="1"/>
      <name val="Calibri"/>
      <family val="2"/>
      <charset val="238"/>
      <scheme val="minor"/>
    </font>
    <font>
      <sz val="9"/>
      <color indexed="81"/>
      <name val="Tahoma"/>
      <family val="2"/>
      <charset val="238"/>
    </font>
    <font>
      <b/>
      <sz val="9"/>
      <color indexed="81"/>
      <name val="Tahoma"/>
      <family val="2"/>
      <charset val="238"/>
    </font>
    <font>
      <sz val="11"/>
      <color indexed="81"/>
      <name val="Tahoma"/>
      <family val="2"/>
      <charset val="238"/>
    </font>
    <font>
      <sz val="12"/>
      <color indexed="81"/>
      <name val="Tahoma"/>
      <family val="2"/>
      <charset val="238"/>
    </font>
    <font>
      <b/>
      <sz val="12"/>
      <color theme="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gray125">
        <fgColor theme="1" tint="0.34998626667073579"/>
        <bgColor indexed="65"/>
      </patternFill>
    </fill>
    <fill>
      <patternFill patternType="gray125">
        <fgColor theme="1" tint="0.34998626667073579"/>
        <bgColor theme="3" tint="0.79998168889431442"/>
      </patternFill>
    </fill>
    <fill>
      <patternFill patternType="gray125">
        <fgColor theme="1" tint="0.34998626667073579"/>
        <bgColor theme="0" tint="-0.249977111117893"/>
      </patternFill>
    </fill>
    <fill>
      <patternFill patternType="gray125">
        <fgColor theme="1" tint="0.34998626667073579"/>
        <bgColor rgb="FFFFC000"/>
      </patternFill>
    </fill>
    <fill>
      <patternFill patternType="gray125">
        <fgColor theme="1" tint="0.34998626667073579"/>
        <bgColor theme="5" tint="-0.249977111117893"/>
      </patternFill>
    </fill>
    <fill>
      <patternFill patternType="gray125">
        <fgColor theme="1" tint="0.34998626667073579"/>
        <bgColor rgb="FF92D050"/>
      </patternFill>
    </fill>
    <fill>
      <patternFill patternType="gray125">
        <fgColor theme="1" tint="0.34998626667073579"/>
        <bgColor theme="9" tint="0.39997558519241921"/>
      </patternFill>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96">
    <xf numFmtId="0" fontId="0" fillId="0" borderId="0" xfId="0"/>
    <xf numFmtId="164" fontId="0" fillId="0" borderId="1" xfId="0" applyNumberFormat="1" applyBorder="1"/>
    <xf numFmtId="164" fontId="0" fillId="2" borderId="1" xfId="0" applyNumberFormat="1" applyFill="1" applyBorder="1"/>
    <xf numFmtId="0" fontId="1" fillId="0" borderId="0" xfId="0" applyFont="1"/>
    <xf numFmtId="0" fontId="0" fillId="2" borderId="0" xfId="0" applyFill="1"/>
    <xf numFmtId="6" fontId="0" fillId="0" borderId="0" xfId="0" applyNumberFormat="1"/>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4" fontId="0" fillId="0" borderId="5" xfId="0" applyNumberFormat="1" applyBorder="1"/>
    <xf numFmtId="0" fontId="0" fillId="2" borderId="0" xfId="0" applyFill="1" applyBorder="1"/>
    <xf numFmtId="0" fontId="0" fillId="2" borderId="6" xfId="0" applyFill="1" applyBorder="1"/>
    <xf numFmtId="164" fontId="0" fillId="0" borderId="7" xfId="0" applyNumberFormat="1" applyBorder="1"/>
    <xf numFmtId="0" fontId="0" fillId="2" borderId="8" xfId="0" applyFill="1" applyBorder="1"/>
    <xf numFmtId="0" fontId="0" fillId="0" borderId="0" xfId="0" applyFill="1" applyBorder="1"/>
    <xf numFmtId="0" fontId="0" fillId="0" borderId="0" xfId="0" applyBorder="1" applyAlignment="1">
      <alignment horizontal="right"/>
    </xf>
    <xf numFmtId="0" fontId="0" fillId="0" borderId="0" xfId="0" applyBorder="1"/>
    <xf numFmtId="164" fontId="0" fillId="0" borderId="1" xfId="0" applyNumberFormat="1" applyFill="1" applyBorder="1"/>
    <xf numFmtId="164" fontId="0" fillId="0" borderId="7" xfId="0" applyNumberFormat="1" applyFill="1" applyBorder="1"/>
    <xf numFmtId="164" fontId="0" fillId="2" borderId="0" xfId="0" applyNumberFormat="1" applyFill="1" applyBorder="1"/>
    <xf numFmtId="164" fontId="0" fillId="0" borderId="10" xfId="0" applyNumberFormat="1" applyBorder="1"/>
    <xf numFmtId="164" fontId="0" fillId="0" borderId="10" xfId="0" applyNumberFormat="1" applyFill="1" applyBorder="1"/>
    <xf numFmtId="164" fontId="0" fillId="0" borderId="9" xfId="0" applyNumberFormat="1" applyBorder="1"/>
    <xf numFmtId="164" fontId="0" fillId="0" borderId="9" xfId="0" applyNumberFormat="1" applyFill="1" applyBorder="1"/>
    <xf numFmtId="0" fontId="0" fillId="0" borderId="11" xfId="0" applyBorder="1" applyAlignment="1">
      <alignment horizontal="center"/>
    </xf>
    <xf numFmtId="164" fontId="0" fillId="0" borderId="12" xfId="0" applyNumberFormat="1" applyBorder="1"/>
    <xf numFmtId="0" fontId="2" fillId="0" borderId="13" xfId="0" applyFont="1" applyBorder="1"/>
    <xf numFmtId="6" fontId="2" fillId="0" borderId="14" xfId="0" applyNumberFormat="1" applyFont="1" applyBorder="1"/>
    <xf numFmtId="6" fontId="2" fillId="0" borderId="15" xfId="0" applyNumberFormat="1" applyFont="1" applyBorder="1"/>
    <xf numFmtId="6" fontId="2" fillId="0" borderId="16" xfId="0" applyNumberFormat="1" applyFont="1" applyBorder="1"/>
    <xf numFmtId="0" fontId="2" fillId="0" borderId="1" xfId="0" applyFont="1" applyBorder="1"/>
    <xf numFmtId="6" fontId="2" fillId="0" borderId="1" xfId="0" applyNumberFormat="1" applyFont="1" applyBorder="1"/>
    <xf numFmtId="0" fontId="2" fillId="0" borderId="0" xfId="0" applyFont="1"/>
    <xf numFmtId="8" fontId="0" fillId="0" borderId="0" xfId="0" applyNumberFormat="1"/>
    <xf numFmtId="6" fontId="0" fillId="0" borderId="5" xfId="0" applyNumberFormat="1" applyBorder="1"/>
    <xf numFmtId="6" fontId="0" fillId="2" borderId="5" xfId="0" applyNumberFormat="1" applyFill="1" applyBorder="1"/>
    <xf numFmtId="164" fontId="3" fillId="2" borderId="1" xfId="0" applyNumberFormat="1" applyFont="1" applyFill="1" applyBorder="1"/>
    <xf numFmtId="164" fontId="0" fillId="2" borderId="7" xfId="0" applyNumberFormat="1" applyFill="1" applyBorder="1"/>
    <xf numFmtId="6" fontId="2" fillId="0" borderId="17" xfId="0" applyNumberFormat="1" applyFont="1" applyBorder="1"/>
    <xf numFmtId="164" fontId="0" fillId="0" borderId="18" xfId="0" applyNumberFormat="1" applyBorder="1"/>
    <xf numFmtId="6" fontId="2" fillId="0" borderId="1" xfId="0" applyNumberFormat="1" applyFont="1" applyBorder="1" applyAlignment="1">
      <alignment wrapText="1"/>
    </xf>
    <xf numFmtId="0" fontId="2" fillId="0" borderId="1" xfId="0" applyFont="1" applyBorder="1" applyAlignment="1">
      <alignment wrapText="1"/>
    </xf>
    <xf numFmtId="0" fontId="4" fillId="0" borderId="0" xfId="0" applyFont="1"/>
    <xf numFmtId="0" fontId="0" fillId="0" borderId="19" xfId="0" applyBorder="1" applyAlignment="1">
      <alignment horizontal="center"/>
    </xf>
    <xf numFmtId="6" fontId="2" fillId="0" borderId="20" xfId="0" applyNumberFormat="1" applyFont="1" applyBorder="1"/>
    <xf numFmtId="164" fontId="0" fillId="0" borderId="21" xfId="0" applyNumberFormat="1" applyBorder="1"/>
    <xf numFmtId="164" fontId="0" fillId="0" borderId="23" xfId="0" applyNumberFormat="1" applyBorder="1"/>
    <xf numFmtId="164" fontId="0" fillId="0" borderId="23" xfId="0" applyNumberFormat="1" applyFill="1" applyBorder="1"/>
    <xf numFmtId="6" fontId="2" fillId="0" borderId="22" xfId="0" applyNumberFormat="1" applyFont="1" applyBorder="1"/>
    <xf numFmtId="0" fontId="3" fillId="0" borderId="0" xfId="0" applyFont="1" applyAlignment="1">
      <alignment wrapText="1"/>
    </xf>
    <xf numFmtId="164" fontId="0" fillId="0" borderId="24" xfId="0" applyNumberFormat="1" applyBorder="1"/>
    <xf numFmtId="6" fontId="2" fillId="0" borderId="25" xfId="0" applyNumberFormat="1" applyFont="1" applyBorder="1"/>
    <xf numFmtId="0" fontId="0" fillId="2" borderId="26" xfId="0" applyFill="1" applyBorder="1"/>
    <xf numFmtId="0" fontId="0" fillId="2" borderId="23" xfId="0" applyFill="1" applyBorder="1"/>
    <xf numFmtId="0" fontId="0" fillId="3" borderId="0" xfId="0" applyFill="1" applyProtection="1"/>
    <xf numFmtId="0" fontId="1" fillId="3" borderId="0" xfId="0" applyFont="1" applyFill="1" applyAlignment="1" applyProtection="1">
      <alignment horizontal="center"/>
    </xf>
    <xf numFmtId="0" fontId="0" fillId="4" borderId="1" xfId="0" applyFill="1" applyBorder="1" applyProtection="1"/>
    <xf numFmtId="164" fontId="0" fillId="3" borderId="1" xfId="0" applyNumberFormat="1" applyFill="1" applyBorder="1" applyProtection="1"/>
    <xf numFmtId="9" fontId="0" fillId="5" borderId="0" xfId="0" applyNumberFormat="1" applyFill="1" applyProtection="1"/>
    <xf numFmtId="164" fontId="0" fillId="5" borderId="1" xfId="0" applyNumberFormat="1" applyFill="1" applyBorder="1" applyProtection="1"/>
    <xf numFmtId="0" fontId="0" fillId="6" borderId="1" xfId="0" applyFill="1" applyBorder="1" applyProtection="1"/>
    <xf numFmtId="0" fontId="0" fillId="3" borderId="1" xfId="0" applyFill="1" applyBorder="1" applyProtection="1"/>
    <xf numFmtId="0" fontId="0" fillId="3" borderId="1" xfId="0" applyFont="1" applyFill="1" applyBorder="1" applyProtection="1"/>
    <xf numFmtId="0" fontId="3" fillId="7" borderId="1" xfId="0" applyFont="1" applyFill="1" applyBorder="1" applyProtection="1"/>
    <xf numFmtId="164" fontId="3" fillId="5" borderId="1" xfId="0" applyNumberFormat="1" applyFont="1" applyFill="1" applyBorder="1" applyProtection="1"/>
    <xf numFmtId="0" fontId="0" fillId="5" borderId="0" xfId="0" applyFill="1" applyProtection="1"/>
    <xf numFmtId="0" fontId="0" fillId="8" borderId="1" xfId="0" applyFill="1" applyBorder="1" applyProtection="1"/>
    <xf numFmtId="165" fontId="0" fillId="5" borderId="1" xfId="0" applyNumberFormat="1" applyFill="1" applyBorder="1" applyProtection="1"/>
    <xf numFmtId="0" fontId="0" fillId="9" borderId="1" xfId="0" applyFill="1" applyBorder="1" applyProtection="1"/>
    <xf numFmtId="165" fontId="0" fillId="3" borderId="1" xfId="0" applyNumberFormat="1" applyFill="1" applyBorder="1" applyProtection="1"/>
    <xf numFmtId="0" fontId="2" fillId="0" borderId="0" xfId="0" applyFont="1" applyAlignment="1">
      <alignment horizontal="center"/>
    </xf>
    <xf numFmtId="0" fontId="0" fillId="10" borderId="0" xfId="0" applyFill="1"/>
    <xf numFmtId="164" fontId="0" fillId="10" borderId="1" xfId="0" applyNumberFormat="1" applyFill="1" applyBorder="1"/>
    <xf numFmtId="0" fontId="0" fillId="10" borderId="1" xfId="0" applyNumberFormat="1" applyFill="1" applyBorder="1"/>
    <xf numFmtId="165" fontId="0" fillId="0" borderId="0" xfId="0" applyNumberFormat="1"/>
    <xf numFmtId="165" fontId="0" fillId="0" borderId="0" xfId="0" applyNumberFormat="1" applyFill="1"/>
    <xf numFmtId="0" fontId="3" fillId="2" borderId="1" xfId="0" applyFont="1" applyFill="1" applyBorder="1"/>
    <xf numFmtId="0" fontId="0" fillId="2" borderId="0" xfId="0" applyFill="1" applyAlignment="1">
      <alignment horizontal="center"/>
    </xf>
    <xf numFmtId="9" fontId="0" fillId="10" borderId="0" xfId="0" applyNumberFormat="1" applyFill="1" applyAlignment="1">
      <alignment horizontal="center"/>
    </xf>
    <xf numFmtId="165" fontId="0" fillId="10" borderId="1" xfId="0" applyNumberFormat="1" applyFill="1" applyBorder="1"/>
    <xf numFmtId="6" fontId="2" fillId="2" borderId="1" xfId="0" applyNumberFormat="1" applyFont="1" applyFill="1" applyBorder="1" applyAlignment="1">
      <alignment wrapText="1"/>
    </xf>
    <xf numFmtId="6" fontId="2" fillId="2" borderId="1" xfId="0" applyNumberFormat="1" applyFont="1" applyFill="1" applyBorder="1"/>
    <xf numFmtId="0" fontId="8" fillId="3" borderId="0" xfId="0" applyFont="1" applyFill="1" applyProtection="1"/>
    <xf numFmtId="10" fontId="0" fillId="10" borderId="1" xfId="0" applyNumberFormat="1" applyFill="1" applyBorder="1"/>
    <xf numFmtId="10" fontId="0" fillId="3" borderId="1" xfId="1" applyNumberFormat="1" applyFont="1" applyFill="1" applyBorder="1" applyProtection="1"/>
    <xf numFmtId="0" fontId="3" fillId="2" borderId="0" xfId="0" applyFont="1" applyFill="1"/>
    <xf numFmtId="6" fontId="0" fillId="2" borderId="0" xfId="0" applyNumberFormat="1" applyFill="1"/>
    <xf numFmtId="0" fontId="0" fillId="11" borderId="1" xfId="0" applyFill="1" applyBorder="1"/>
    <xf numFmtId="44" fontId="14" fillId="12" borderId="0" xfId="2" applyFont="1" applyFill="1" applyBorder="1" applyAlignment="1">
      <alignment horizontal="center"/>
    </xf>
    <xf numFmtId="0" fontId="0" fillId="11" borderId="1" xfId="0" applyFont="1" applyFill="1" applyBorder="1"/>
    <xf numFmtId="164" fontId="0" fillId="11" borderId="1" xfId="0" applyNumberFormat="1" applyFill="1" applyBorder="1"/>
    <xf numFmtId="6" fontId="2" fillId="11" borderId="0" xfId="0" applyNumberFormat="1" applyFont="1" applyFill="1" applyBorder="1"/>
    <xf numFmtId="0" fontId="14" fillId="12" borderId="0" xfId="0" applyFont="1" applyFill="1" applyBorder="1" applyAlignment="1">
      <alignment horizontal="center"/>
    </xf>
    <xf numFmtId="0" fontId="14" fillId="12" borderId="0" xfId="0" applyFont="1" applyFill="1" applyBorder="1" applyAlignment="1">
      <alignment horizontal="right"/>
    </xf>
    <xf numFmtId="0" fontId="1" fillId="11" borderId="0" xfId="0" applyFont="1" applyFill="1" applyBorder="1" applyAlignment="1">
      <alignment horizontal="right"/>
    </xf>
  </cellXfs>
  <cellStyles count="3">
    <cellStyle name="Normalny" xfId="0" builtinId="0"/>
    <cellStyle name="Procentowy" xfId="1" builtinId="5"/>
    <cellStyle name="Walutowy" xfId="2" builtinId="4"/>
  </cellStyles>
  <dxfs count="0"/>
  <tableStyles count="0" defaultTableStyle="TableStyleMedium2" defaultPivotStyle="PivotStyleLight16"/>
  <colors>
    <mruColors>
      <color rgb="FF6464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a:pPr>
            <a:r>
              <a:rPr lang="pl-PL" sz="1200" b="1" i="0" kern="1200" baseline="0">
                <a:solidFill>
                  <a:srgbClr val="000000"/>
                </a:solidFill>
                <a:effectLst/>
              </a:rPr>
              <a:t>Przepływy pieniężne w poszczególnych latach : okres 10 lat</a:t>
            </a:r>
          </a:p>
        </c:rich>
      </c:tx>
      <c:layout>
        <c:manualLayout>
          <c:xMode val="edge"/>
          <c:yMode val="edge"/>
          <c:x val="0.21164340110235658"/>
          <c:y val="1.7158726552273657E-2"/>
        </c:manualLayout>
      </c:layout>
    </c:title>
    <c:plotArea>
      <c:layout/>
      <c:barChart>
        <c:barDir val="col"/>
        <c:grouping val="clustered"/>
        <c:ser>
          <c:idx val="0"/>
          <c:order val="0"/>
          <c:tx>
            <c:strRef>
              <c:f>'10 lat'!$E$12</c:f>
              <c:strCache>
                <c:ptCount val="1"/>
                <c:pt idx="0">
                  <c:v>PRZEPŁYWY PIENIĘŻNE ZAKUP:</c:v>
                </c:pt>
              </c:strCache>
            </c:strRef>
          </c:tx>
          <c:dLbls>
            <c:txPr>
              <a:bodyPr rot="-5400000" vert="horz"/>
              <a:lstStyle/>
              <a:p>
                <a:pPr>
                  <a:defRPr/>
                </a:pPr>
                <a:endParaRPr lang="pl-PL"/>
              </a:p>
            </c:txPr>
            <c:showVal val="1"/>
          </c:dLbls>
          <c:val>
            <c:numRef>
              <c:f>'10 lat'!$F$12:$O$12</c:f>
              <c:numCache>
                <c:formatCode>#,##0\ "zł";[Red]\-#,##0\ "zł"</c:formatCode>
                <c:ptCount val="10"/>
                <c:pt idx="0">
                  <c:v>-95472.748701843986</c:v>
                </c:pt>
                <c:pt idx="1">
                  <c:v>-31218.96870184398</c:v>
                </c:pt>
                <c:pt idx="2">
                  <c:v>-31578.15030184398</c:v>
                </c:pt>
                <c:pt idx="3">
                  <c:v>-31948.10734984398</c:v>
                </c:pt>
                <c:pt idx="4">
                  <c:v>-32329.163109283982</c:v>
                </c:pt>
                <c:pt idx="5">
                  <c:v>-32721.650541507181</c:v>
                </c:pt>
                <c:pt idx="6">
                  <c:v>-33125.912596697075</c:v>
                </c:pt>
                <c:pt idx="7">
                  <c:v>-33542.302513542672</c:v>
                </c:pt>
                <c:pt idx="8">
                  <c:v>-33971.184127893634</c:v>
                </c:pt>
                <c:pt idx="9">
                  <c:v>158725.49295042595</c:v>
                </c:pt>
              </c:numCache>
            </c:numRef>
          </c:val>
        </c:ser>
        <c:ser>
          <c:idx val="1"/>
          <c:order val="1"/>
          <c:tx>
            <c:strRef>
              <c:f>'10 lat'!$E$22</c:f>
              <c:strCache>
                <c:ptCount val="1"/>
                <c:pt idx="0">
                  <c:v>PRZEPŁYWY PIENIĘŻNE NAJEM:</c:v>
                </c:pt>
              </c:strCache>
            </c:strRef>
          </c:tx>
          <c:dLbls>
            <c:txPr>
              <a:bodyPr rot="-5400000" vert="horz"/>
              <a:lstStyle/>
              <a:p>
                <a:pPr>
                  <a:defRPr/>
                </a:pPr>
                <a:endParaRPr lang="pl-PL"/>
              </a:p>
            </c:txPr>
            <c:showVal val="1"/>
          </c:dLbls>
          <c:val>
            <c:numRef>
              <c:f>'10 lat'!$F$22:$O$22</c:f>
              <c:numCache>
                <c:formatCode>#,##0\ "zł";[Red]\-#,##0\ "zł"</c:formatCode>
                <c:ptCount val="10"/>
                <c:pt idx="0">
                  <c:v>-26600</c:v>
                </c:pt>
                <c:pt idx="1">
                  <c:v>-25956</c:v>
                </c:pt>
                <c:pt idx="2">
                  <c:v>-26734.680000000004</c:v>
                </c:pt>
                <c:pt idx="3">
                  <c:v>-29066.538200000006</c:v>
                </c:pt>
                <c:pt idx="4">
                  <c:v>-28362.822012000004</c:v>
                </c:pt>
                <c:pt idx="5">
                  <c:v>-29213.706672360004</c:v>
                </c:pt>
                <c:pt idx="6">
                  <c:v>-31761.791087671405</c:v>
                </c:pt>
                <c:pt idx="7">
                  <c:v>-30992.821408706732</c:v>
                </c:pt>
                <c:pt idx="8">
                  <c:v>-31922.606050967934</c:v>
                </c:pt>
                <c:pt idx="9">
                  <c:v>-34706.966689857909</c:v>
                </c:pt>
              </c:numCache>
            </c:numRef>
          </c:val>
        </c:ser>
        <c:dLbls/>
        <c:gapWidth val="75"/>
        <c:overlap val="-25"/>
        <c:axId val="62689280"/>
        <c:axId val="62690816"/>
      </c:barChart>
      <c:catAx>
        <c:axId val="62689280"/>
        <c:scaling>
          <c:orientation val="minMax"/>
        </c:scaling>
        <c:axPos val="b"/>
        <c:majorTickMark val="none"/>
        <c:tickLblPos val="nextTo"/>
        <c:crossAx val="62690816"/>
        <c:crosses val="autoZero"/>
        <c:auto val="1"/>
        <c:lblAlgn val="ctr"/>
        <c:lblOffset val="100"/>
      </c:catAx>
      <c:valAx>
        <c:axId val="62690816"/>
        <c:scaling>
          <c:orientation val="minMax"/>
        </c:scaling>
        <c:axPos val="l"/>
        <c:numFmt formatCode="#,##0\ &quot;zł&quot;;[Red]\-#,##0\ &quot;zł&quot;" sourceLinked="1"/>
        <c:majorTickMark val="none"/>
        <c:tickLblPos val="nextTo"/>
        <c:spPr>
          <a:ln w="9525">
            <a:solidFill>
              <a:schemeClr val="accent1"/>
            </a:solidFill>
          </a:ln>
        </c:spPr>
        <c:crossAx val="62689280"/>
        <c:crosses val="autoZero"/>
        <c:crossBetween val="between"/>
      </c:valAx>
    </c:plotArea>
    <c:legend>
      <c:legendPos val="b"/>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a:pPr>
            <a:r>
              <a:rPr lang="pl-PL" sz="1200" b="1" i="0" kern="1200" baseline="0">
                <a:solidFill>
                  <a:srgbClr val="000000"/>
                </a:solidFill>
                <a:effectLst/>
              </a:rPr>
              <a:t>Przepływy pieniężne w poszczególnych latach : okres  20 lat</a:t>
            </a:r>
          </a:p>
        </c:rich>
      </c:tx>
      <c:layout>
        <c:manualLayout>
          <c:xMode val="edge"/>
          <c:yMode val="edge"/>
          <c:x val="0.19610792720019674"/>
          <c:y val="1.7158726552273657E-2"/>
        </c:manualLayout>
      </c:layout>
    </c:title>
    <c:plotArea>
      <c:layout/>
      <c:barChart>
        <c:barDir val="col"/>
        <c:grouping val="clustered"/>
        <c:ser>
          <c:idx val="0"/>
          <c:order val="0"/>
          <c:tx>
            <c:strRef>
              <c:f>'20 lat'!$E$15</c:f>
              <c:strCache>
                <c:ptCount val="1"/>
                <c:pt idx="0">
                  <c:v>PRZEPŁYWY PIENIĘŻNE ZAKUP:</c:v>
                </c:pt>
              </c:strCache>
            </c:strRef>
          </c:tx>
          <c:dLbls>
            <c:txPr>
              <a:bodyPr rot="-5400000" vert="horz"/>
              <a:lstStyle/>
              <a:p>
                <a:pPr>
                  <a:defRPr/>
                </a:pPr>
                <a:endParaRPr lang="pl-PL"/>
              </a:p>
            </c:txPr>
            <c:showVal val="1"/>
          </c:dLbls>
          <c:val>
            <c:numRef>
              <c:f>'20 lat'!$F$15:$Y$15</c:f>
              <c:numCache>
                <c:formatCode>#,##0\ "zł";[Red]\-#,##0\ "zł"</c:formatCode>
                <c:ptCount val="20"/>
                <c:pt idx="0">
                  <c:v>-95472.748701843986</c:v>
                </c:pt>
                <c:pt idx="1">
                  <c:v>-31218.96870184398</c:v>
                </c:pt>
                <c:pt idx="2">
                  <c:v>-31578.15030184398</c:v>
                </c:pt>
                <c:pt idx="3">
                  <c:v>-31948.10734984398</c:v>
                </c:pt>
                <c:pt idx="4">
                  <c:v>-32329.163109283982</c:v>
                </c:pt>
                <c:pt idx="5">
                  <c:v>-32721.650541507181</c:v>
                </c:pt>
                <c:pt idx="6">
                  <c:v>-33125.912596697075</c:v>
                </c:pt>
                <c:pt idx="7">
                  <c:v>-33542.302513542672</c:v>
                </c:pt>
                <c:pt idx="8">
                  <c:v>-33971.184127893634</c:v>
                </c:pt>
                <c:pt idx="9">
                  <c:v>-34412.932190675121</c:v>
                </c:pt>
                <c:pt idx="10">
                  <c:v>-34867.93269534006</c:v>
                </c:pt>
                <c:pt idx="11">
                  <c:v>-35336.583215144943</c:v>
                </c:pt>
                <c:pt idx="12">
                  <c:v>-35819.293250543968</c:v>
                </c:pt>
                <c:pt idx="13">
                  <c:v>-36316.484587004968</c:v>
                </c:pt>
                <c:pt idx="14">
                  <c:v>-36828.591663559797</c:v>
                </c:pt>
                <c:pt idx="15">
                  <c:v>-37356.06195241127</c:v>
                </c:pt>
                <c:pt idx="16">
                  <c:v>-37899.35634992829</c:v>
                </c:pt>
                <c:pt idx="17">
                  <c:v>-38458.949579370819</c:v>
                </c:pt>
                <c:pt idx="18">
                  <c:v>-39035.330605696625</c:v>
                </c:pt>
                <c:pt idx="19">
                  <c:v>404097.56243383116</c:v>
                </c:pt>
              </c:numCache>
            </c:numRef>
          </c:val>
        </c:ser>
        <c:ser>
          <c:idx val="1"/>
          <c:order val="1"/>
          <c:tx>
            <c:strRef>
              <c:f>'20 lat'!$E$25</c:f>
              <c:strCache>
                <c:ptCount val="1"/>
                <c:pt idx="0">
                  <c:v>PRZEPŁYWY PIENIĘŻNE NAJEM:</c:v>
                </c:pt>
              </c:strCache>
            </c:strRef>
          </c:tx>
          <c:dLbls>
            <c:txPr>
              <a:bodyPr rot="-5400000" vert="horz"/>
              <a:lstStyle/>
              <a:p>
                <a:pPr>
                  <a:defRPr/>
                </a:pPr>
                <a:endParaRPr lang="pl-PL"/>
              </a:p>
            </c:txPr>
            <c:showVal val="1"/>
          </c:dLbls>
          <c:val>
            <c:numRef>
              <c:f>'20 lat'!$F$25:$Y$25</c:f>
              <c:numCache>
                <c:formatCode>#,##0\ "zł";[Red]\-#,##0\ "zł"</c:formatCode>
                <c:ptCount val="20"/>
                <c:pt idx="0">
                  <c:v>-26600</c:v>
                </c:pt>
                <c:pt idx="1">
                  <c:v>-25956</c:v>
                </c:pt>
                <c:pt idx="2">
                  <c:v>-26734.680000000004</c:v>
                </c:pt>
                <c:pt idx="3">
                  <c:v>-29066.538200000006</c:v>
                </c:pt>
                <c:pt idx="4">
                  <c:v>-28362.822012000004</c:v>
                </c:pt>
                <c:pt idx="5">
                  <c:v>-29213.706672360004</c:v>
                </c:pt>
                <c:pt idx="6">
                  <c:v>-31761.791087671405</c:v>
                </c:pt>
                <c:pt idx="7">
                  <c:v>-30992.821408706732</c:v>
                </c:pt>
                <c:pt idx="8">
                  <c:v>-31922.606050967934</c:v>
                </c:pt>
                <c:pt idx="9">
                  <c:v>-34706.966689857909</c:v>
                </c:pt>
                <c:pt idx="10">
                  <c:v>-33866.692759471887</c:v>
                </c:pt>
                <c:pt idx="11">
                  <c:v>-34882.693542256042</c:v>
                </c:pt>
                <c:pt idx="12">
                  <c:v>-37925.239590108373</c:v>
                </c:pt>
                <c:pt idx="13">
                  <c:v>-37007.049578979437</c:v>
                </c:pt>
                <c:pt idx="14">
                  <c:v>-38117.261066348823</c:v>
                </c:pt>
                <c:pt idx="15">
                  <c:v>-41441.933281580357</c:v>
                </c:pt>
                <c:pt idx="16">
                  <c:v>-40438.602265289468</c:v>
                </c:pt>
                <c:pt idx="17">
                  <c:v>-41651.760333248152</c:v>
                </c:pt>
                <c:pt idx="18">
                  <c:v>-45284.719428981465</c:v>
                </c:pt>
                <c:pt idx="19">
                  <c:v>-44188.352537542967</c:v>
                </c:pt>
              </c:numCache>
            </c:numRef>
          </c:val>
        </c:ser>
        <c:gapWidth val="75"/>
        <c:overlap val="-25"/>
        <c:axId val="88333312"/>
        <c:axId val="88339968"/>
      </c:barChart>
      <c:catAx>
        <c:axId val="88333312"/>
        <c:scaling>
          <c:orientation val="minMax"/>
        </c:scaling>
        <c:axPos val="b"/>
        <c:majorTickMark val="none"/>
        <c:tickLblPos val="nextTo"/>
        <c:crossAx val="88339968"/>
        <c:crosses val="autoZero"/>
        <c:auto val="1"/>
        <c:lblAlgn val="ctr"/>
        <c:lblOffset val="100"/>
      </c:catAx>
      <c:valAx>
        <c:axId val="88339968"/>
        <c:scaling>
          <c:orientation val="minMax"/>
        </c:scaling>
        <c:axPos val="l"/>
        <c:numFmt formatCode="#,##0\ &quot;zł&quot;;[Red]\-#,##0\ &quot;zł&quot;" sourceLinked="1"/>
        <c:majorTickMark val="none"/>
        <c:tickLblPos val="nextTo"/>
        <c:spPr>
          <a:ln w="9525">
            <a:solidFill>
              <a:schemeClr val="accent1"/>
            </a:solidFill>
          </a:ln>
        </c:spPr>
        <c:crossAx val="88333312"/>
        <c:crosses val="autoZero"/>
        <c:crossBetween val="between"/>
      </c:valAx>
    </c:plotArea>
    <c:legend>
      <c:legendPos val="b"/>
      <c:layout/>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a:pPr>
            <a:r>
              <a:rPr lang="pl-PL" sz="1200" b="1" i="0" kern="1200" baseline="0">
                <a:solidFill>
                  <a:srgbClr val="000000"/>
                </a:solidFill>
                <a:effectLst/>
              </a:rPr>
              <a:t>Przepływy pieniężne w poszczególnych latach : okres  30 lat</a:t>
            </a:r>
          </a:p>
        </c:rich>
      </c:tx>
      <c:layout>
        <c:manualLayout>
          <c:xMode val="edge"/>
          <c:yMode val="edge"/>
          <c:x val="0.30425034928725281"/>
          <c:y val="1.7158726552273657E-2"/>
        </c:manualLayout>
      </c:layout>
    </c:title>
    <c:plotArea>
      <c:layout/>
      <c:barChart>
        <c:barDir val="col"/>
        <c:grouping val="clustered"/>
        <c:ser>
          <c:idx val="0"/>
          <c:order val="0"/>
          <c:tx>
            <c:strRef>
              <c:f>'30 lat'!$E$15</c:f>
              <c:strCache>
                <c:ptCount val="1"/>
                <c:pt idx="0">
                  <c:v>PRZEPŁYWY PIENIĘŻNE ZAKUP:</c:v>
                </c:pt>
              </c:strCache>
            </c:strRef>
          </c:tx>
          <c:dLbls>
            <c:txPr>
              <a:bodyPr rot="-5400000" vert="horz"/>
              <a:lstStyle/>
              <a:p>
                <a:pPr>
                  <a:defRPr/>
                </a:pPr>
                <a:endParaRPr lang="pl-PL"/>
              </a:p>
            </c:txPr>
            <c:showVal val="1"/>
          </c:dLbls>
          <c:val>
            <c:numRef>
              <c:f>'30 lat'!$F$15:$AI$15</c:f>
              <c:numCache>
                <c:formatCode>#,##0\ "zł";[Red]\-#,##0\ "zł"</c:formatCode>
                <c:ptCount val="30"/>
                <c:pt idx="0">
                  <c:v>-95472.748701843986</c:v>
                </c:pt>
                <c:pt idx="1">
                  <c:v>-31218.96870184398</c:v>
                </c:pt>
                <c:pt idx="2">
                  <c:v>-31578.15030184398</c:v>
                </c:pt>
                <c:pt idx="3">
                  <c:v>-31948.10734984398</c:v>
                </c:pt>
                <c:pt idx="4">
                  <c:v>-32329.163109283982</c:v>
                </c:pt>
                <c:pt idx="5">
                  <c:v>-32721.650541507181</c:v>
                </c:pt>
                <c:pt idx="6">
                  <c:v>-33125.912596697075</c:v>
                </c:pt>
                <c:pt idx="7">
                  <c:v>-33542.302513542672</c:v>
                </c:pt>
                <c:pt idx="8">
                  <c:v>-33971.184127893634</c:v>
                </c:pt>
                <c:pt idx="9">
                  <c:v>-34412.932190675121</c:v>
                </c:pt>
                <c:pt idx="10">
                  <c:v>-34867.93269534006</c:v>
                </c:pt>
                <c:pt idx="11">
                  <c:v>-35336.583215144943</c:v>
                </c:pt>
                <c:pt idx="12">
                  <c:v>-35819.293250543968</c:v>
                </c:pt>
                <c:pt idx="13">
                  <c:v>-36316.484587004968</c:v>
                </c:pt>
                <c:pt idx="14">
                  <c:v>-36828.591663559797</c:v>
                </c:pt>
                <c:pt idx="15">
                  <c:v>-37356.06195241127</c:v>
                </c:pt>
                <c:pt idx="16">
                  <c:v>-37899.35634992829</c:v>
                </c:pt>
                <c:pt idx="17">
                  <c:v>-38458.949579370819</c:v>
                </c:pt>
                <c:pt idx="18">
                  <c:v>-39035.330605696625</c:v>
                </c:pt>
                <c:pt idx="19">
                  <c:v>-39629.003062812204</c:v>
                </c:pt>
                <c:pt idx="20">
                  <c:v>-40240.485693641254</c:v>
                </c:pt>
                <c:pt idx="21">
                  <c:v>-40870.312803395173</c:v>
                </c:pt>
                <c:pt idx="22">
                  <c:v>-41519.034726441707</c:v>
                </c:pt>
                <c:pt idx="23">
                  <c:v>-42187.218307179646</c:v>
                </c:pt>
                <c:pt idx="24">
                  <c:v>-42875.44739533971</c:v>
                </c:pt>
                <c:pt idx="25">
                  <c:v>-43584.323356144581</c:v>
                </c:pt>
                <c:pt idx="26">
                  <c:v>-44314.465595773603</c:v>
                </c:pt>
                <c:pt idx="27">
                  <c:v>-45066.512102591492</c:v>
                </c:pt>
                <c:pt idx="28">
                  <c:v>-45841.12000461392</c:v>
                </c:pt>
                <c:pt idx="29">
                  <c:v>754357.64934889181</c:v>
                </c:pt>
              </c:numCache>
            </c:numRef>
          </c:val>
        </c:ser>
        <c:ser>
          <c:idx val="1"/>
          <c:order val="1"/>
          <c:tx>
            <c:strRef>
              <c:f>'30 lat'!$E$25</c:f>
              <c:strCache>
                <c:ptCount val="1"/>
                <c:pt idx="0">
                  <c:v>PRZEPŁYWY PIENIĘŻNE NAJEM:</c:v>
                </c:pt>
              </c:strCache>
            </c:strRef>
          </c:tx>
          <c:dLbls>
            <c:txPr>
              <a:bodyPr rot="-5400000" vert="horz"/>
              <a:lstStyle/>
              <a:p>
                <a:pPr>
                  <a:defRPr/>
                </a:pPr>
                <a:endParaRPr lang="pl-PL"/>
              </a:p>
            </c:txPr>
            <c:showVal val="1"/>
          </c:dLbls>
          <c:val>
            <c:numRef>
              <c:f>'30 lat'!$F$25:$AI$25</c:f>
              <c:numCache>
                <c:formatCode>#,##0\ "zł";[Red]\-#,##0\ "zł"</c:formatCode>
                <c:ptCount val="30"/>
                <c:pt idx="0">
                  <c:v>-26600</c:v>
                </c:pt>
                <c:pt idx="1">
                  <c:v>-25956</c:v>
                </c:pt>
                <c:pt idx="2">
                  <c:v>-26734.680000000004</c:v>
                </c:pt>
                <c:pt idx="3">
                  <c:v>-29066.538200000006</c:v>
                </c:pt>
                <c:pt idx="4">
                  <c:v>-28362.822012000004</c:v>
                </c:pt>
                <c:pt idx="5">
                  <c:v>-29213.706672360004</c:v>
                </c:pt>
                <c:pt idx="6">
                  <c:v>-31761.791087671405</c:v>
                </c:pt>
                <c:pt idx="7">
                  <c:v>-30992.821408706732</c:v>
                </c:pt>
                <c:pt idx="8">
                  <c:v>-31922.606050967934</c:v>
                </c:pt>
                <c:pt idx="9">
                  <c:v>-34706.966689857909</c:v>
                </c:pt>
                <c:pt idx="10">
                  <c:v>-33866.692759471887</c:v>
                </c:pt>
                <c:pt idx="11">
                  <c:v>-34882.693542256042</c:v>
                </c:pt>
                <c:pt idx="12">
                  <c:v>-37925.239590108373</c:v>
                </c:pt>
                <c:pt idx="13">
                  <c:v>-37007.049578979437</c:v>
                </c:pt>
                <c:pt idx="14">
                  <c:v>-38117.261066348823</c:v>
                </c:pt>
                <c:pt idx="15">
                  <c:v>-41441.933281580357</c:v>
                </c:pt>
                <c:pt idx="16">
                  <c:v>-40438.602265289468</c:v>
                </c:pt>
                <c:pt idx="17">
                  <c:v>-41651.760333248152</c:v>
                </c:pt>
                <c:pt idx="18">
                  <c:v>-45284.719428981465</c:v>
                </c:pt>
                <c:pt idx="19">
                  <c:v>-44188.352537542967</c:v>
                </c:pt>
                <c:pt idx="20">
                  <c:v>-45514.003113669256</c:v>
                </c:pt>
                <c:pt idx="21">
                  <c:v>-49483.835607472633</c:v>
                </c:pt>
                <c:pt idx="22">
                  <c:v>-48285.805903291715</c:v>
                </c:pt>
                <c:pt idx="23">
                  <c:v>-49734.380080390474</c:v>
                </c:pt>
                <c:pt idx="24">
                  <c:v>-54072.323231846742</c:v>
                </c:pt>
                <c:pt idx="25">
                  <c:v>-52763.203827286256</c:v>
                </c:pt>
                <c:pt idx="26">
                  <c:v>-54346.09994210484</c:v>
                </c:pt>
                <c:pt idx="27">
                  <c:v>-59086.287548166212</c:v>
                </c:pt>
                <c:pt idx="28">
                  <c:v>-57655.777428579029</c:v>
                </c:pt>
                <c:pt idx="29">
                  <c:v>-59385.450751436401</c:v>
                </c:pt>
              </c:numCache>
            </c:numRef>
          </c:val>
        </c:ser>
        <c:gapWidth val="75"/>
        <c:overlap val="-25"/>
        <c:axId val="78940032"/>
        <c:axId val="82588032"/>
      </c:barChart>
      <c:catAx>
        <c:axId val="78940032"/>
        <c:scaling>
          <c:orientation val="minMax"/>
        </c:scaling>
        <c:axPos val="b"/>
        <c:majorTickMark val="none"/>
        <c:tickLblPos val="nextTo"/>
        <c:crossAx val="82588032"/>
        <c:crosses val="autoZero"/>
        <c:auto val="1"/>
        <c:lblAlgn val="ctr"/>
        <c:lblOffset val="100"/>
      </c:catAx>
      <c:valAx>
        <c:axId val="82588032"/>
        <c:scaling>
          <c:orientation val="minMax"/>
        </c:scaling>
        <c:axPos val="l"/>
        <c:numFmt formatCode="#,##0\ &quot;zł&quot;;[Red]\-#,##0\ &quot;zł&quot;" sourceLinked="1"/>
        <c:majorTickMark val="none"/>
        <c:tickLblPos val="nextTo"/>
        <c:spPr>
          <a:ln w="9525">
            <a:solidFill>
              <a:schemeClr val="accent1"/>
            </a:solidFill>
          </a:ln>
        </c:spPr>
        <c:crossAx val="78940032"/>
        <c:crosses val="autoZero"/>
        <c:crossBetween val="between"/>
      </c:valAx>
    </c:plotArea>
    <c:legend>
      <c:legendPos val="b"/>
      <c:layout/>
    </c:legend>
    <c:plotVisOnly val="1"/>
    <c:dispBlanksAs val="gap"/>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marciniwuc.com/" TargetMode="External"/><Relationship Id="rId1" Type="http://schemas.openxmlformats.org/officeDocument/2006/relationships/chart" Target="../charts/chart1.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23532</xdr:colOff>
      <xdr:row>10</xdr:row>
      <xdr:rowOff>52668</xdr:rowOff>
    </xdr:from>
    <xdr:to>
      <xdr:col>8</xdr:col>
      <xdr:colOff>89648</xdr:colOff>
      <xdr:row>37</xdr:row>
      <xdr:rowOff>33618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22414</xdr:colOff>
      <xdr:row>0</xdr:row>
      <xdr:rowOff>0</xdr:rowOff>
    </xdr:from>
    <xdr:to>
      <xdr:col>3</xdr:col>
      <xdr:colOff>0</xdr:colOff>
      <xdr:row>2</xdr:row>
      <xdr:rowOff>134471</xdr:rowOff>
    </xdr:to>
    <xdr:pic>
      <xdr:nvPicPr>
        <xdr:cNvPr id="9" name="Obraz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22414" y="0"/>
          <a:ext cx="4504762" cy="51547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33617</xdr:colOff>
      <xdr:row>37</xdr:row>
      <xdr:rowOff>156883</xdr:rowOff>
    </xdr:from>
    <xdr:to>
      <xdr:col>4</xdr:col>
      <xdr:colOff>1075766</xdr:colOff>
      <xdr:row>61</xdr:row>
      <xdr:rowOff>25772</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1165410</xdr:colOff>
      <xdr:row>37</xdr:row>
      <xdr:rowOff>168088</xdr:rowOff>
    </xdr:from>
    <xdr:to>
      <xdr:col>11</xdr:col>
      <xdr:colOff>470646</xdr:colOff>
      <xdr:row>61</xdr:row>
      <xdr:rowOff>36977</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H37"/>
  <sheetViews>
    <sheetView showGridLines="0" tabSelected="1" zoomScale="85" zoomScaleNormal="85" workbookViewId="0">
      <selection activeCell="C6" sqref="C6"/>
    </sheetView>
  </sheetViews>
  <sheetFormatPr defaultRowHeight="15"/>
  <cols>
    <col min="1" max="1" width="5.140625" customWidth="1"/>
    <col min="2" max="2" width="47.85546875" customWidth="1"/>
    <col min="3" max="3" width="14.7109375" customWidth="1"/>
    <col min="4" max="4" width="4.5703125" customWidth="1"/>
    <col min="5" max="5" width="59" customWidth="1"/>
    <col min="6" max="8" width="12.7109375" customWidth="1"/>
  </cols>
  <sheetData>
    <row r="2" spans="1:8">
      <c r="F2" s="72" t="s">
        <v>58</v>
      </c>
      <c r="G2" t="s">
        <v>59</v>
      </c>
    </row>
    <row r="3" spans="1:8">
      <c r="F3" s="4" t="s">
        <v>60</v>
      </c>
      <c r="G3" t="s">
        <v>68</v>
      </c>
    </row>
    <row r="7" spans="1:8" ht="15.75">
      <c r="B7" s="71" t="s">
        <v>26</v>
      </c>
      <c r="E7" s="94" t="s">
        <v>73</v>
      </c>
      <c r="F7" s="93" t="s">
        <v>63</v>
      </c>
      <c r="G7" s="93" t="s">
        <v>64</v>
      </c>
      <c r="H7" s="93" t="s">
        <v>65</v>
      </c>
    </row>
    <row r="8" spans="1:8" ht="15.75">
      <c r="B8" s="88" t="s">
        <v>8</v>
      </c>
      <c r="C8" s="73">
        <v>330000</v>
      </c>
      <c r="E8" s="95" t="s">
        <v>74</v>
      </c>
      <c r="F8" s="92">
        <f>'10 lat'!F30</f>
        <v>33692.770384516058</v>
      </c>
      <c r="G8" s="92">
        <f>'20 lat'!F37</f>
        <v>95024.07549541301</v>
      </c>
      <c r="H8" s="92">
        <f>'30 lat'!F37</f>
        <v>142744.61121583168</v>
      </c>
    </row>
    <row r="9" spans="1:8" ht="15.75">
      <c r="B9" s="88" t="s">
        <v>0</v>
      </c>
      <c r="C9" s="73">
        <v>2700</v>
      </c>
      <c r="E9" s="94" t="s">
        <v>72</v>
      </c>
      <c r="F9" s="89" t="str">
        <f>IF(F8&gt;0,"KUPIĆ","WYNAJĄĆ")</f>
        <v>KUPIĆ</v>
      </c>
      <c r="G9" s="89" t="str">
        <f t="shared" ref="G9:H9" si="0">IF(G8&gt;0,"KUPIĆ","WYNAJĄĆ")</f>
        <v>KUPIĆ</v>
      </c>
      <c r="H9" s="89" t="str">
        <f t="shared" si="0"/>
        <v>KUPIĆ</v>
      </c>
    </row>
    <row r="10" spans="1:8">
      <c r="A10" s="80">
        <v>0.02</v>
      </c>
      <c r="B10" s="88" t="s">
        <v>7</v>
      </c>
      <c r="C10" s="91">
        <f>A10*C8</f>
        <v>6600</v>
      </c>
    </row>
    <row r="11" spans="1:8">
      <c r="A11" s="75"/>
      <c r="B11" s="88" t="s">
        <v>62</v>
      </c>
      <c r="C11" s="73">
        <v>27500</v>
      </c>
    </row>
    <row r="12" spans="1:8">
      <c r="A12" s="80">
        <v>0.02</v>
      </c>
      <c r="B12" s="88" t="s">
        <v>1</v>
      </c>
      <c r="C12" s="91">
        <f>$A$12*C8</f>
        <v>6600</v>
      </c>
    </row>
    <row r="13" spans="1:8">
      <c r="A13" s="75"/>
      <c r="B13" s="88" t="s">
        <v>2</v>
      </c>
      <c r="C13" s="73">
        <v>313500</v>
      </c>
    </row>
    <row r="14" spans="1:8">
      <c r="A14" s="75"/>
      <c r="B14" s="88" t="s">
        <v>3</v>
      </c>
      <c r="C14" s="84">
        <v>4.4999999999999998E-2</v>
      </c>
    </row>
    <row r="15" spans="1:8">
      <c r="A15" s="75"/>
      <c r="B15" s="88" t="s">
        <v>36</v>
      </c>
      <c r="C15" s="74">
        <v>30</v>
      </c>
    </row>
    <row r="16" spans="1:8">
      <c r="A16" s="80">
        <v>1.4999999999999999E-2</v>
      </c>
      <c r="B16" s="88" t="s">
        <v>5</v>
      </c>
      <c r="C16" s="91">
        <f>A16*C13</f>
        <v>4702.5</v>
      </c>
    </row>
    <row r="17" spans="1:3">
      <c r="A17" s="75"/>
      <c r="B17" s="88" t="s">
        <v>9</v>
      </c>
      <c r="C17" s="91">
        <f>C8-C13+C11</f>
        <v>44000</v>
      </c>
    </row>
    <row r="18" spans="1:3">
      <c r="A18" s="75"/>
      <c r="B18" s="88" t="s">
        <v>6</v>
      </c>
      <c r="C18" s="73">
        <f>0.0008*C8</f>
        <v>264</v>
      </c>
    </row>
    <row r="19" spans="1:3">
      <c r="A19" s="75"/>
      <c r="B19" s="88" t="s">
        <v>14</v>
      </c>
      <c r="C19" s="73">
        <v>100</v>
      </c>
    </row>
    <row r="20" spans="1:3">
      <c r="A20" s="75"/>
      <c r="B20" s="88" t="s">
        <v>13</v>
      </c>
      <c r="C20" s="73">
        <v>300</v>
      </c>
    </row>
    <row r="21" spans="1:3">
      <c r="A21" s="75"/>
      <c r="B21" s="88" t="s">
        <v>11</v>
      </c>
      <c r="C21" s="73">
        <v>4000</v>
      </c>
    </row>
    <row r="22" spans="1:3">
      <c r="A22" s="75"/>
      <c r="B22" s="90" t="s">
        <v>44</v>
      </c>
      <c r="C22" s="73">
        <v>500</v>
      </c>
    </row>
    <row r="23" spans="1:3">
      <c r="A23" s="75"/>
      <c r="B23" s="88" t="s">
        <v>43</v>
      </c>
      <c r="C23" s="73">
        <v>80</v>
      </c>
    </row>
    <row r="24" spans="1:3">
      <c r="A24" s="75"/>
      <c r="B24" s="88" t="s">
        <v>45</v>
      </c>
      <c r="C24" s="73">
        <v>0</v>
      </c>
    </row>
    <row r="25" spans="1:3">
      <c r="A25" s="75"/>
      <c r="B25" s="77" t="s">
        <v>42</v>
      </c>
      <c r="C25" s="37">
        <f>SUM(C18:C21)+SUM(C22:C23)*A28+C24</f>
        <v>11624</v>
      </c>
    </row>
    <row r="26" spans="1:3">
      <c r="A26" s="76"/>
    </row>
    <row r="27" spans="1:3" ht="15.75">
      <c r="B27" s="71" t="s">
        <v>27</v>
      </c>
    </row>
    <row r="28" spans="1:3">
      <c r="A28" s="78">
        <v>12</v>
      </c>
      <c r="B28" s="88" t="s">
        <v>28</v>
      </c>
      <c r="C28" s="73">
        <v>1800</v>
      </c>
    </row>
    <row r="29" spans="1:3">
      <c r="A29" s="79">
        <v>0.5</v>
      </c>
      <c r="B29" s="88" t="s">
        <v>69</v>
      </c>
      <c r="C29" s="2">
        <f>C28*A29</f>
        <v>900</v>
      </c>
    </row>
    <row r="30" spans="1:3">
      <c r="B30" s="88" t="s">
        <v>61</v>
      </c>
      <c r="C30" s="73">
        <v>300</v>
      </c>
    </row>
    <row r="31" spans="1:3">
      <c r="B31" s="88" t="s">
        <v>31</v>
      </c>
      <c r="C31" s="73">
        <v>500</v>
      </c>
    </row>
    <row r="32" spans="1:3">
      <c r="B32" s="88" t="s">
        <v>32</v>
      </c>
      <c r="C32" s="73">
        <v>0</v>
      </c>
    </row>
    <row r="34" spans="2:3" ht="15.75">
      <c r="B34" s="71" t="s">
        <v>75</v>
      </c>
    </row>
    <row r="35" spans="2:3">
      <c r="B35" s="88" t="s">
        <v>15</v>
      </c>
      <c r="C35" s="80">
        <v>0.03</v>
      </c>
    </row>
    <row r="36" spans="2:3">
      <c r="B36" s="88" t="s">
        <v>56</v>
      </c>
      <c r="C36" s="80">
        <v>0.03</v>
      </c>
    </row>
    <row r="37" spans="2:3">
      <c r="B37" s="88" t="s">
        <v>10</v>
      </c>
      <c r="C37" s="80">
        <v>0.05</v>
      </c>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Sheet1"/>
  <dimension ref="A1:O38"/>
  <sheetViews>
    <sheetView showGridLines="0" zoomScale="85" zoomScaleNormal="85" workbookViewId="0">
      <selection activeCell="P16" sqref="P16"/>
    </sheetView>
  </sheetViews>
  <sheetFormatPr defaultRowHeight="15"/>
  <cols>
    <col min="1" max="1" width="4.42578125" customWidth="1"/>
    <col min="2" max="2" width="47.85546875" customWidth="1"/>
    <col min="3" max="3" width="14.7109375" customWidth="1"/>
    <col min="4" max="4" width="13" customWidth="1"/>
    <col min="5" max="5" width="46.140625" customWidth="1"/>
    <col min="6" max="6" width="14" customWidth="1"/>
    <col min="7" max="7" width="11.5703125" bestFit="1" customWidth="1"/>
    <col min="8" max="8" width="12.28515625" customWidth="1"/>
    <col min="9" max="9" width="11.5703125" customWidth="1"/>
    <col min="10" max="10" width="11.85546875" customWidth="1"/>
    <col min="11" max="11" width="12.7109375" customWidth="1"/>
    <col min="12" max="13" width="11.85546875" customWidth="1"/>
    <col min="14" max="14" width="12.5703125" customWidth="1"/>
    <col min="15" max="15" width="12.85546875" customWidth="1"/>
  </cols>
  <sheetData>
    <row r="1" spans="1:15" ht="21">
      <c r="B1" s="43" t="s">
        <v>51</v>
      </c>
    </row>
    <row r="2" spans="1:15" ht="16.5" thickBot="1">
      <c r="A2" s="55"/>
      <c r="B2" s="55"/>
      <c r="C2" s="83" t="s">
        <v>66</v>
      </c>
      <c r="E2" s="33" t="s">
        <v>24</v>
      </c>
    </row>
    <row r="3" spans="1:15">
      <c r="A3" s="55"/>
      <c r="B3" s="56" t="s">
        <v>26</v>
      </c>
      <c r="C3" s="83" t="s">
        <v>67</v>
      </c>
      <c r="E3" s="6" t="s">
        <v>17</v>
      </c>
      <c r="F3" s="7">
        <v>1</v>
      </c>
      <c r="G3" s="8">
        <v>2</v>
      </c>
      <c r="H3" s="8">
        <v>3</v>
      </c>
      <c r="I3" s="8">
        <v>4</v>
      </c>
      <c r="J3" s="8">
        <v>5</v>
      </c>
      <c r="K3" s="8">
        <v>6</v>
      </c>
      <c r="L3" s="8">
        <v>7</v>
      </c>
      <c r="M3" s="8">
        <v>8</v>
      </c>
      <c r="N3" s="8">
        <v>9</v>
      </c>
      <c r="O3" s="9">
        <v>10</v>
      </c>
    </row>
    <row r="4" spans="1:15">
      <c r="A4" s="55"/>
      <c r="B4" s="55"/>
      <c r="C4" s="55"/>
      <c r="E4" t="s">
        <v>20</v>
      </c>
      <c r="F4" s="10">
        <f>SUM(C5:C9)-C10</f>
        <v>59900</v>
      </c>
      <c r="G4" s="11"/>
      <c r="H4" s="11"/>
      <c r="I4" s="11"/>
      <c r="J4" s="11"/>
      <c r="K4" s="11"/>
      <c r="L4" s="11"/>
      <c r="M4" s="11"/>
      <c r="N4" s="11"/>
      <c r="O4" s="12"/>
    </row>
    <row r="5" spans="1:15">
      <c r="A5" s="55"/>
      <c r="B5" s="57" t="s">
        <v>8</v>
      </c>
      <c r="C5" s="58">
        <f>Dane!C8</f>
        <v>330000</v>
      </c>
      <c r="E5" t="s">
        <v>18</v>
      </c>
      <c r="F5" s="10">
        <f>C13</f>
        <v>4702.5</v>
      </c>
      <c r="G5" s="11"/>
      <c r="H5" s="11"/>
      <c r="I5" s="11"/>
      <c r="J5" s="11"/>
      <c r="K5" s="11"/>
      <c r="L5" s="11"/>
      <c r="M5" s="11"/>
      <c r="N5" s="11"/>
      <c r="O5" s="12"/>
    </row>
    <row r="6" spans="1:15">
      <c r="A6" s="55"/>
      <c r="B6" s="57" t="s">
        <v>0</v>
      </c>
      <c r="C6" s="58">
        <f>Dane!C9</f>
        <v>2700</v>
      </c>
      <c r="E6" t="s">
        <v>21</v>
      </c>
      <c r="F6" s="35">
        <f>Harmonogram_kredytu!C3</f>
        <v>19246.248701843979</v>
      </c>
      <c r="G6" s="1">
        <f>Harmonogram_kredytu!D3</f>
        <v>19246.248701843979</v>
      </c>
      <c r="H6" s="1">
        <f>Harmonogram_kredytu!E3</f>
        <v>19246.248701843979</v>
      </c>
      <c r="I6" s="1">
        <f>Harmonogram_kredytu!F3</f>
        <v>19246.248701843979</v>
      </c>
      <c r="J6" s="1">
        <f>Harmonogram_kredytu!G3</f>
        <v>19246.248701843979</v>
      </c>
      <c r="K6" s="1">
        <f>Harmonogram_kredytu!H3</f>
        <v>19246.248701843979</v>
      </c>
      <c r="L6" s="1">
        <f>Harmonogram_kredytu!I3</f>
        <v>19246.248701843979</v>
      </c>
      <c r="M6" s="1">
        <f>Harmonogram_kredytu!J3</f>
        <v>19246.248701843979</v>
      </c>
      <c r="N6" s="1">
        <f>Harmonogram_kredytu!K3</f>
        <v>19246.248701843979</v>
      </c>
      <c r="O6" s="13">
        <f>Harmonogram_kredytu!L3</f>
        <v>19246.248701843979</v>
      </c>
    </row>
    <row r="7" spans="1:15">
      <c r="A7" s="55"/>
      <c r="B7" s="57" t="s">
        <v>7</v>
      </c>
      <c r="C7" s="58">
        <f>Dane!C10</f>
        <v>6600</v>
      </c>
      <c r="E7" t="s">
        <v>22</v>
      </c>
      <c r="F7" s="36">
        <f>Harmonogram_kredytu!C5</f>
        <v>5138.7487018439788</v>
      </c>
      <c r="G7" s="2">
        <f>Harmonogram_kredytu!D5</f>
        <v>5369.9923934269573</v>
      </c>
      <c r="H7" s="2">
        <f>Harmonogram_kredytu!E5</f>
        <v>5611.6420511311699</v>
      </c>
      <c r="I7" s="2">
        <f>Harmonogram_kredytu!F5</f>
        <v>5864.1659434320736</v>
      </c>
      <c r="J7" s="2">
        <f>Harmonogram_kredytu!G5</f>
        <v>6128.0534108865158</v>
      </c>
      <c r="K7" s="2">
        <f>Harmonogram_kredytu!H5</f>
        <v>6403.8158143764085</v>
      </c>
      <c r="L7" s="2">
        <f>Harmonogram_kredytu!I5</f>
        <v>6691.9875260233457</v>
      </c>
      <c r="M7" s="2">
        <f>Harmonogram_kredytu!J5</f>
        <v>6993.1269646943965</v>
      </c>
      <c r="N7" s="2">
        <f>Harmonogram_kredytu!K5</f>
        <v>7307.8176781056463</v>
      </c>
      <c r="O7" s="38">
        <f>Harmonogram_kredytu!L5</f>
        <v>7636.669473620399</v>
      </c>
    </row>
    <row r="8" spans="1:15">
      <c r="A8" s="55"/>
      <c r="B8" s="57" t="s">
        <v>4</v>
      </c>
      <c r="C8" s="58">
        <f>Dane!C11</f>
        <v>27500</v>
      </c>
      <c r="E8" t="s">
        <v>57</v>
      </c>
      <c r="F8" s="36">
        <f>Harmonogram_kredytu!C4</f>
        <v>14107.5</v>
      </c>
      <c r="G8" s="2">
        <f>Harmonogram_kredytu!D4</f>
        <v>13876.256308417022</v>
      </c>
      <c r="H8" s="2">
        <f>Harmonogram_kredytu!E4</f>
        <v>13634.606650712809</v>
      </c>
      <c r="I8" s="2">
        <f>Harmonogram_kredytu!F4</f>
        <v>13382.082758411905</v>
      </c>
      <c r="J8" s="2">
        <f>Harmonogram_kredytu!G4</f>
        <v>13118.195290957463</v>
      </c>
      <c r="K8" s="2">
        <f>Harmonogram_kredytu!H4</f>
        <v>12842.43288746757</v>
      </c>
      <c r="L8" s="2">
        <f>Harmonogram_kredytu!I4</f>
        <v>12554.261175820633</v>
      </c>
      <c r="M8" s="2">
        <f>Harmonogram_kredytu!J4</f>
        <v>12253.121737149582</v>
      </c>
      <c r="N8" s="2">
        <f>Harmonogram_kredytu!K4</f>
        <v>11938.431023738332</v>
      </c>
      <c r="O8" s="38">
        <f>Harmonogram_kredytu!L4</f>
        <v>11609.57922822358</v>
      </c>
    </row>
    <row r="9" spans="1:15">
      <c r="A9" s="59">
        <f>Dane!A12</f>
        <v>0.02</v>
      </c>
      <c r="B9" s="57" t="s">
        <v>1</v>
      </c>
      <c r="C9" s="60">
        <f>$A$9*C5</f>
        <v>6600</v>
      </c>
      <c r="E9" t="s">
        <v>16</v>
      </c>
      <c r="F9" s="10">
        <f>C22</f>
        <v>11624</v>
      </c>
      <c r="G9" s="1">
        <f t="shared" ref="G9:O9" si="0">F9*(1+$C$35)</f>
        <v>11972.720000000001</v>
      </c>
      <c r="H9" s="1">
        <f t="shared" si="0"/>
        <v>12331.901600000001</v>
      </c>
      <c r="I9" s="1">
        <f t="shared" si="0"/>
        <v>12701.858648000001</v>
      </c>
      <c r="J9" s="1">
        <f t="shared" si="0"/>
        <v>13082.914407440001</v>
      </c>
      <c r="K9" s="1">
        <f t="shared" si="0"/>
        <v>13475.401839663202</v>
      </c>
      <c r="L9" s="1">
        <f t="shared" si="0"/>
        <v>13879.663894853098</v>
      </c>
      <c r="M9" s="1">
        <f t="shared" si="0"/>
        <v>14296.053811698692</v>
      </c>
      <c r="N9" s="1">
        <f t="shared" si="0"/>
        <v>14724.935426049653</v>
      </c>
      <c r="O9" s="13">
        <f t="shared" si="0"/>
        <v>15166.683488831142</v>
      </c>
    </row>
    <row r="10" spans="1:15">
      <c r="A10" s="55"/>
      <c r="B10" s="57" t="s">
        <v>2</v>
      </c>
      <c r="C10" s="58">
        <f>Dane!C13</f>
        <v>313500</v>
      </c>
      <c r="E10" t="s">
        <v>19</v>
      </c>
      <c r="F10" s="14"/>
      <c r="G10" s="11"/>
      <c r="H10" s="11"/>
      <c r="I10" s="11"/>
      <c r="J10" s="11"/>
      <c r="K10" s="11"/>
      <c r="L10" s="11"/>
      <c r="M10" s="11"/>
      <c r="N10" s="11"/>
      <c r="O10" s="13">
        <f>C23</f>
        <v>443492.40518356021</v>
      </c>
    </row>
    <row r="11" spans="1:15" ht="15.75" thickBot="1">
      <c r="A11" s="55"/>
      <c r="B11" s="57" t="s">
        <v>3</v>
      </c>
      <c r="C11" s="85">
        <f>Dane!C14</f>
        <v>4.4999999999999998E-2</v>
      </c>
      <c r="E11" t="s">
        <v>23</v>
      </c>
      <c r="F11" s="14"/>
      <c r="G11" s="11"/>
      <c r="H11" s="11"/>
      <c r="I11" s="11"/>
      <c r="J11" s="11"/>
      <c r="K11" s="11"/>
      <c r="L11" s="11"/>
      <c r="M11" s="11"/>
      <c r="N11" s="11"/>
      <c r="O11" s="26">
        <f>Harmonogram_kredytu!L6</f>
        <v>250353.98004245915</v>
      </c>
    </row>
    <row r="12" spans="1:15" ht="16.5" thickBot="1">
      <c r="A12" s="55"/>
      <c r="B12" s="57" t="s">
        <v>36</v>
      </c>
      <c r="C12" s="58">
        <f>Dane!C15</f>
        <v>30</v>
      </c>
      <c r="E12" s="27" t="s">
        <v>70</v>
      </c>
      <c r="F12" s="28">
        <f t="shared" ref="F12:O12" si="1">-(F4+F5+F6+F9)+F10-F11</f>
        <v>-95472.748701843986</v>
      </c>
      <c r="G12" s="28">
        <f t="shared" si="1"/>
        <v>-31218.96870184398</v>
      </c>
      <c r="H12" s="28">
        <f t="shared" si="1"/>
        <v>-31578.15030184398</v>
      </c>
      <c r="I12" s="28">
        <f t="shared" si="1"/>
        <v>-31948.10734984398</v>
      </c>
      <c r="J12" s="28">
        <f t="shared" si="1"/>
        <v>-32329.163109283982</v>
      </c>
      <c r="K12" s="28">
        <f t="shared" si="1"/>
        <v>-32721.650541507181</v>
      </c>
      <c r="L12" s="28">
        <f t="shared" si="1"/>
        <v>-33125.912596697075</v>
      </c>
      <c r="M12" s="28">
        <f t="shared" si="1"/>
        <v>-33542.302513542672</v>
      </c>
      <c r="N12" s="28">
        <f t="shared" si="1"/>
        <v>-33971.184127893634</v>
      </c>
      <c r="O12" s="39">
        <f t="shared" si="1"/>
        <v>158725.49295042595</v>
      </c>
    </row>
    <row r="13" spans="1:15">
      <c r="A13" s="55"/>
      <c r="B13" s="57" t="s">
        <v>5</v>
      </c>
      <c r="C13" s="58">
        <f>Dane!C16</f>
        <v>4702.5</v>
      </c>
    </row>
    <row r="14" spans="1:15">
      <c r="A14" s="55"/>
      <c r="B14" s="61" t="s">
        <v>9</v>
      </c>
      <c r="C14" s="60">
        <f>C5-C10+C8</f>
        <v>44000</v>
      </c>
      <c r="E14" s="3"/>
      <c r="F14" s="5"/>
      <c r="G14" s="5"/>
      <c r="H14" s="5"/>
      <c r="I14" s="5"/>
      <c r="J14" s="5"/>
      <c r="K14" s="5"/>
      <c r="L14" s="5"/>
      <c r="M14" s="5"/>
      <c r="N14" s="5"/>
      <c r="O14" s="5"/>
    </row>
    <row r="15" spans="1:15" ht="16.5" thickBot="1">
      <c r="A15" s="55"/>
      <c r="B15" s="62" t="s">
        <v>6</v>
      </c>
      <c r="C15" s="58">
        <f>Dane!C18</f>
        <v>264</v>
      </c>
      <c r="E15" s="33" t="s">
        <v>25</v>
      </c>
    </row>
    <row r="16" spans="1:15">
      <c r="A16" s="55"/>
      <c r="B16" s="62" t="s">
        <v>14</v>
      </c>
      <c r="C16" s="58">
        <f>Dane!C19</f>
        <v>100</v>
      </c>
      <c r="E16" s="16" t="s">
        <v>17</v>
      </c>
      <c r="F16" s="7">
        <v>1</v>
      </c>
      <c r="G16" s="8">
        <v>2</v>
      </c>
      <c r="H16" s="8">
        <v>3</v>
      </c>
      <c r="I16" s="8">
        <v>4</v>
      </c>
      <c r="J16" s="8">
        <v>5</v>
      </c>
      <c r="K16" s="8">
        <v>6</v>
      </c>
      <c r="L16" s="8">
        <v>7</v>
      </c>
      <c r="M16" s="8">
        <v>8</v>
      </c>
      <c r="N16" s="25">
        <v>9</v>
      </c>
      <c r="O16" s="9">
        <v>10</v>
      </c>
    </row>
    <row r="17" spans="1:15">
      <c r="A17" s="55"/>
      <c r="B17" s="62" t="s">
        <v>13</v>
      </c>
      <c r="C17" s="58">
        <f>Dane!C20</f>
        <v>300</v>
      </c>
      <c r="E17" s="17" t="s">
        <v>33</v>
      </c>
      <c r="F17" s="10">
        <f>C27*A27</f>
        <v>21600</v>
      </c>
      <c r="G17" s="1">
        <f>F17*(1+$C$35)</f>
        <v>22248</v>
      </c>
      <c r="H17" s="1">
        <f t="shared" ref="H17:O17" si="2">G17*(1+$C$35)</f>
        <v>22915.440000000002</v>
      </c>
      <c r="I17" s="1">
        <f t="shared" si="2"/>
        <v>23602.903200000004</v>
      </c>
      <c r="J17" s="1">
        <f t="shared" si="2"/>
        <v>24310.990296000004</v>
      </c>
      <c r="K17" s="1">
        <f t="shared" si="2"/>
        <v>25040.320004880003</v>
      </c>
      <c r="L17" s="1">
        <f t="shared" si="2"/>
        <v>25791.529605026404</v>
      </c>
      <c r="M17" s="1">
        <f t="shared" si="2"/>
        <v>26565.275493177196</v>
      </c>
      <c r="N17" s="1">
        <f t="shared" si="2"/>
        <v>27362.233757972514</v>
      </c>
      <c r="O17" s="13">
        <f t="shared" si="2"/>
        <v>28183.100770711691</v>
      </c>
    </row>
    <row r="18" spans="1:15">
      <c r="A18" s="55"/>
      <c r="B18" s="62" t="s">
        <v>11</v>
      </c>
      <c r="C18" s="58">
        <f>Dane!C21</f>
        <v>4000</v>
      </c>
      <c r="E18" s="17" t="s">
        <v>29</v>
      </c>
      <c r="F18" s="10">
        <f>C28</f>
        <v>900</v>
      </c>
      <c r="G18" s="20"/>
      <c r="H18" s="20"/>
      <c r="I18" s="18">
        <f>$F$18*POWER((1+$C$35),H16)</f>
        <v>983.45429999999999</v>
      </c>
      <c r="J18" s="20"/>
      <c r="K18" s="20"/>
      <c r="L18" s="18">
        <f>$F$18*POWER((1+$C$35),K16)</f>
        <v>1074.6470668760999</v>
      </c>
      <c r="M18" s="20"/>
      <c r="N18" s="20"/>
      <c r="O18" s="19">
        <f>$F$18*POWER((1+$C$35),N16)</f>
        <v>1174.29586544632</v>
      </c>
    </row>
    <row r="19" spans="1:15">
      <c r="A19" s="55"/>
      <c r="B19" s="63" t="s">
        <v>44</v>
      </c>
      <c r="C19" s="58">
        <f>Dane!C22</f>
        <v>500</v>
      </c>
      <c r="E19" s="17" t="s">
        <v>30</v>
      </c>
      <c r="F19" s="10">
        <f>C29*A27</f>
        <v>3600</v>
      </c>
      <c r="G19" s="18">
        <f>F19*(1+$C$35)</f>
        <v>3708</v>
      </c>
      <c r="H19" s="18">
        <f t="shared" ref="H19:O19" si="3">G19*(1+$C$35)</f>
        <v>3819.2400000000002</v>
      </c>
      <c r="I19" s="18">
        <f t="shared" si="3"/>
        <v>3933.8172000000004</v>
      </c>
      <c r="J19" s="18">
        <f t="shared" si="3"/>
        <v>4051.8317160000006</v>
      </c>
      <c r="K19" s="18">
        <f t="shared" si="3"/>
        <v>4173.3866674800011</v>
      </c>
      <c r="L19" s="18">
        <f t="shared" si="3"/>
        <v>4298.5882675044013</v>
      </c>
      <c r="M19" s="18">
        <f t="shared" si="3"/>
        <v>4427.5459155295339</v>
      </c>
      <c r="N19" s="18">
        <f t="shared" si="3"/>
        <v>4560.3722929954201</v>
      </c>
      <c r="O19" s="19">
        <f t="shared" si="3"/>
        <v>4697.1834617852828</v>
      </c>
    </row>
    <row r="20" spans="1:15">
      <c r="A20" s="55"/>
      <c r="B20" s="62" t="s">
        <v>43</v>
      </c>
      <c r="C20" s="58">
        <f>Dane!C23</f>
        <v>80</v>
      </c>
      <c r="E20" s="15" t="s">
        <v>31</v>
      </c>
      <c r="F20" s="10">
        <f>C30</f>
        <v>500</v>
      </c>
      <c r="G20" s="20"/>
      <c r="H20" s="20"/>
      <c r="I20" s="18">
        <f>$F$20*POWER((1+$C$35),H16)</f>
        <v>546.36350000000004</v>
      </c>
      <c r="J20" s="20"/>
      <c r="K20" s="20"/>
      <c r="L20" s="18">
        <f>$F$20*POWER((1+$C$35),K16)</f>
        <v>597.02614826449997</v>
      </c>
      <c r="M20" s="20"/>
      <c r="N20" s="20"/>
      <c r="O20" s="19">
        <f>$F$20*POWER((1+$C$35),N16)</f>
        <v>652.38659191462227</v>
      </c>
    </row>
    <row r="21" spans="1:15" ht="15.75" thickBot="1">
      <c r="A21" s="55"/>
      <c r="B21" s="62" t="s">
        <v>45</v>
      </c>
      <c r="C21" s="58">
        <f>Dane!C24</f>
        <v>0</v>
      </c>
      <c r="E21" s="15" t="s">
        <v>32</v>
      </c>
      <c r="F21" s="10">
        <f>C31</f>
        <v>0</v>
      </c>
      <c r="G21" s="1">
        <f>F21*(1+$C$35)</f>
        <v>0</v>
      </c>
      <c r="H21" s="1">
        <f>G21*(1+$C$35)</f>
        <v>0</v>
      </c>
      <c r="I21" s="1">
        <f t="shared" ref="I21:N21" si="4">H21*(1+$C$35)</f>
        <v>0</v>
      </c>
      <c r="J21" s="1">
        <f t="shared" si="4"/>
        <v>0</v>
      </c>
      <c r="K21" s="1">
        <f t="shared" si="4"/>
        <v>0</v>
      </c>
      <c r="L21" s="1">
        <f t="shared" si="4"/>
        <v>0</v>
      </c>
      <c r="M21" s="1">
        <f t="shared" si="4"/>
        <v>0</v>
      </c>
      <c r="N21" s="1">
        <f t="shared" si="4"/>
        <v>0</v>
      </c>
      <c r="O21" s="40">
        <f>N21*(1+$C$35)</f>
        <v>0</v>
      </c>
    </row>
    <row r="22" spans="1:15" ht="16.5" thickBot="1">
      <c r="A22" s="55"/>
      <c r="B22" s="64" t="s">
        <v>42</v>
      </c>
      <c r="C22" s="65">
        <f>SUM(C15:C18)+SUM(C19:C20)*A27+C21</f>
        <v>11624</v>
      </c>
      <c r="E22" s="27" t="s">
        <v>71</v>
      </c>
      <c r="F22" s="28">
        <f>-SUM(F17:F21)</f>
        <v>-26600</v>
      </c>
      <c r="G22" s="29">
        <f t="shared" ref="G22:O22" si="5">-SUM(G17:G21)</f>
        <v>-25956</v>
      </c>
      <c r="H22" s="29">
        <f t="shared" si="5"/>
        <v>-26734.680000000004</v>
      </c>
      <c r="I22" s="29">
        <f t="shared" si="5"/>
        <v>-29066.538200000006</v>
      </c>
      <c r="J22" s="29">
        <f t="shared" si="5"/>
        <v>-28362.822012000004</v>
      </c>
      <c r="K22" s="29">
        <f t="shared" si="5"/>
        <v>-29213.706672360004</v>
      </c>
      <c r="L22" s="29">
        <f t="shared" si="5"/>
        <v>-31761.791087671405</v>
      </c>
      <c r="M22" s="29">
        <f t="shared" si="5"/>
        <v>-30992.821408706732</v>
      </c>
      <c r="N22" s="29">
        <f t="shared" si="5"/>
        <v>-31922.606050967934</v>
      </c>
      <c r="O22" s="30">
        <f t="shared" si="5"/>
        <v>-34706.966689857909</v>
      </c>
    </row>
    <row r="23" spans="1:15">
      <c r="A23" s="66">
        <v>10</v>
      </c>
      <c r="B23" s="67" t="s">
        <v>12</v>
      </c>
      <c r="C23" s="60">
        <f>C5*POWER((1+C36),A23)</f>
        <v>443492.40518356021</v>
      </c>
    </row>
    <row r="24" spans="1:15">
      <c r="A24" s="55"/>
      <c r="B24" s="55"/>
      <c r="C24" s="55"/>
    </row>
    <row r="25" spans="1:15" ht="15.75">
      <c r="A25" s="55"/>
      <c r="B25" s="56" t="s">
        <v>27</v>
      </c>
      <c r="C25" s="55"/>
      <c r="E25" s="31" t="s">
        <v>35</v>
      </c>
      <c r="F25" s="32">
        <f t="shared" ref="F25:O25" si="6">F12-F22</f>
        <v>-68872.748701843986</v>
      </c>
      <c r="G25" s="32">
        <f t="shared" si="6"/>
        <v>-5262.9687018439799</v>
      </c>
      <c r="H25" s="32">
        <f t="shared" si="6"/>
        <v>-4843.4703018439759</v>
      </c>
      <c r="I25" s="32">
        <f t="shared" si="6"/>
        <v>-2881.5691498439737</v>
      </c>
      <c r="J25" s="32">
        <f t="shared" si="6"/>
        <v>-3966.3410972839774</v>
      </c>
      <c r="K25" s="32">
        <f t="shared" si="6"/>
        <v>-3507.9438691471769</v>
      </c>
      <c r="L25" s="32">
        <f t="shared" si="6"/>
        <v>-1364.1215090256701</v>
      </c>
      <c r="M25" s="32">
        <f t="shared" si="6"/>
        <v>-2549.4811048359406</v>
      </c>
      <c r="N25" s="32">
        <f t="shared" si="6"/>
        <v>-2048.5780769256999</v>
      </c>
      <c r="O25" s="32">
        <f t="shared" si="6"/>
        <v>193432.45964028387</v>
      </c>
    </row>
    <row r="26" spans="1:15">
      <c r="A26" s="55"/>
      <c r="B26" s="55"/>
      <c r="C26" s="55"/>
    </row>
    <row r="27" spans="1:15">
      <c r="A27" s="66">
        <f>Dane!A28</f>
        <v>12</v>
      </c>
      <c r="B27" s="62" t="s">
        <v>28</v>
      </c>
      <c r="C27" s="58">
        <f>Dane!C28</f>
        <v>1800</v>
      </c>
    </row>
    <row r="28" spans="1:15" ht="31.5">
      <c r="A28" s="55"/>
      <c r="B28" s="62" t="s">
        <v>29</v>
      </c>
      <c r="C28" s="58">
        <f>Dane!C29</f>
        <v>900</v>
      </c>
      <c r="E28" s="41" t="s">
        <v>46</v>
      </c>
      <c r="F28" s="41">
        <f>F25</f>
        <v>-68872.748701843986</v>
      </c>
      <c r="G28" s="41">
        <f>G25+F28</f>
        <v>-74135.717403687973</v>
      </c>
      <c r="H28" s="41">
        <f>H25+G28</f>
        <v>-78979.187705531949</v>
      </c>
      <c r="I28" s="41">
        <f>I25+H28</f>
        <v>-81860.756855375919</v>
      </c>
      <c r="J28" s="41">
        <f>J25+I28</f>
        <v>-85827.097952659897</v>
      </c>
      <c r="K28" s="41">
        <f>K25+J28</f>
        <v>-89335.04182180707</v>
      </c>
      <c r="L28" s="41">
        <f>L25+K28</f>
        <v>-90699.163330832744</v>
      </c>
      <c r="M28" s="41">
        <f>M25+L28</f>
        <v>-93248.644435668684</v>
      </c>
      <c r="N28" s="41">
        <f>N25+M28</f>
        <v>-95297.222512594381</v>
      </c>
      <c r="O28" s="41">
        <f>O25+N28</f>
        <v>98135.237127689485</v>
      </c>
    </row>
    <row r="29" spans="1:15">
      <c r="A29" s="59">
        <f>Dane!A29</f>
        <v>0.5</v>
      </c>
      <c r="B29" s="62" t="s">
        <v>30</v>
      </c>
      <c r="C29" s="58">
        <f>Dane!C30</f>
        <v>300</v>
      </c>
    </row>
    <row r="30" spans="1:15" ht="15.75">
      <c r="A30" s="55"/>
      <c r="B30" s="62" t="s">
        <v>31</v>
      </c>
      <c r="C30" s="58">
        <f>Dane!C31</f>
        <v>500</v>
      </c>
      <c r="E30" s="81" t="s">
        <v>53</v>
      </c>
      <c r="F30" s="82">
        <f>NPV(C37,G25:O25)+F25</f>
        <v>33692.770384516058</v>
      </c>
    </row>
    <row r="31" spans="1:15">
      <c r="A31" s="55"/>
      <c r="B31" s="62" t="s">
        <v>32</v>
      </c>
      <c r="C31" s="58">
        <f>Dane!C32</f>
        <v>0</v>
      </c>
    </row>
    <row r="32" spans="1:15">
      <c r="A32" s="55"/>
      <c r="B32" s="62" t="s">
        <v>34</v>
      </c>
      <c r="C32" s="68">
        <f>C35</f>
        <v>0.03</v>
      </c>
      <c r="E32" s="50"/>
    </row>
    <row r="33" spans="1:3">
      <c r="A33" s="55"/>
      <c r="B33" s="56"/>
      <c r="C33" s="55"/>
    </row>
    <row r="34" spans="1:3">
      <c r="A34" s="55"/>
      <c r="B34" s="56" t="s">
        <v>47</v>
      </c>
      <c r="C34" s="55"/>
    </row>
    <row r="35" spans="1:3">
      <c r="A35" s="55"/>
      <c r="B35" s="69" t="s">
        <v>15</v>
      </c>
      <c r="C35" s="70">
        <f>Dane!C35</f>
        <v>0.03</v>
      </c>
    </row>
    <row r="36" spans="1:3">
      <c r="A36" s="55"/>
      <c r="B36" s="69" t="s">
        <v>56</v>
      </c>
      <c r="C36" s="70">
        <f>Dane!C36</f>
        <v>0.03</v>
      </c>
    </row>
    <row r="37" spans="1:3">
      <c r="A37" s="55"/>
      <c r="B37" s="69" t="s">
        <v>10</v>
      </c>
      <c r="C37" s="70">
        <f>Dane!C37</f>
        <v>0.05</v>
      </c>
    </row>
    <row r="38" spans="1:3">
      <c r="A38" s="55"/>
      <c r="B38" s="69" t="s">
        <v>48</v>
      </c>
      <c r="C38" s="70" t="e">
        <f>Dane!#REF!</f>
        <v>#REF!</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1:Y40"/>
  <sheetViews>
    <sheetView showGridLines="0" zoomScale="85" zoomScaleNormal="85" workbookViewId="0">
      <selection activeCell="E25" sqref="E25"/>
    </sheetView>
  </sheetViews>
  <sheetFormatPr defaultRowHeight="15"/>
  <cols>
    <col min="1" max="1" width="4.42578125" customWidth="1"/>
    <col min="2" max="2" width="47.85546875" customWidth="1"/>
    <col min="3" max="3" width="14.7109375" customWidth="1"/>
    <col min="4" max="4" width="13" customWidth="1"/>
    <col min="5" max="5" width="46.140625" customWidth="1"/>
    <col min="6" max="6" width="14" customWidth="1"/>
    <col min="7" max="7" width="11.5703125" bestFit="1" customWidth="1"/>
    <col min="8" max="8" width="12.28515625" customWidth="1"/>
    <col min="9" max="9" width="11.5703125" customWidth="1"/>
    <col min="10" max="10" width="11.85546875" customWidth="1"/>
    <col min="11" max="11" width="12.7109375" customWidth="1"/>
    <col min="12" max="13" width="11.85546875" customWidth="1"/>
    <col min="14" max="14" width="12.5703125" customWidth="1"/>
    <col min="15" max="15" width="12.85546875" customWidth="1"/>
    <col min="16" max="25" width="12" customWidth="1"/>
  </cols>
  <sheetData>
    <row r="1" spans="1:25" ht="21">
      <c r="B1" s="43" t="s">
        <v>52</v>
      </c>
    </row>
    <row r="2" spans="1:25">
      <c r="A2" s="55"/>
      <c r="B2" s="55"/>
      <c r="C2" s="83" t="s">
        <v>66</v>
      </c>
    </row>
    <row r="3" spans="1:25">
      <c r="A3" s="55"/>
      <c r="B3" s="56" t="s">
        <v>26</v>
      </c>
      <c r="C3" s="83" t="s">
        <v>67</v>
      </c>
    </row>
    <row r="4" spans="1:25">
      <c r="A4" s="55"/>
      <c r="B4" s="55"/>
      <c r="C4" s="55"/>
    </row>
    <row r="5" spans="1:25" ht="16.5" thickBot="1">
      <c r="A5" s="55"/>
      <c r="B5" s="57" t="s">
        <v>8</v>
      </c>
      <c r="C5" s="58">
        <f>Dane!C8</f>
        <v>330000</v>
      </c>
      <c r="E5" s="33" t="s">
        <v>24</v>
      </c>
    </row>
    <row r="6" spans="1:25">
      <c r="A6" s="55"/>
      <c r="B6" s="57" t="s">
        <v>0</v>
      </c>
      <c r="C6" s="58">
        <f>Dane!C9</f>
        <v>2700</v>
      </c>
      <c r="E6" s="6" t="s">
        <v>17</v>
      </c>
      <c r="F6" s="7">
        <v>1</v>
      </c>
      <c r="G6" s="8">
        <v>2</v>
      </c>
      <c r="H6" s="8">
        <v>3</v>
      </c>
      <c r="I6" s="8">
        <v>4</v>
      </c>
      <c r="J6" s="8">
        <v>5</v>
      </c>
      <c r="K6" s="8">
        <v>6</v>
      </c>
      <c r="L6" s="8">
        <v>7</v>
      </c>
      <c r="M6" s="8">
        <v>8</v>
      </c>
      <c r="N6" s="8">
        <v>9</v>
      </c>
      <c r="O6" s="8">
        <v>10</v>
      </c>
      <c r="P6" s="8">
        <v>11</v>
      </c>
      <c r="Q6" s="8">
        <v>12</v>
      </c>
      <c r="R6" s="8">
        <v>13</v>
      </c>
      <c r="S6" s="8">
        <v>14</v>
      </c>
      <c r="T6" s="8">
        <v>15</v>
      </c>
      <c r="U6" s="8">
        <v>16</v>
      </c>
      <c r="V6" s="8">
        <v>17</v>
      </c>
      <c r="W6" s="8">
        <v>18</v>
      </c>
      <c r="X6" s="8">
        <v>19</v>
      </c>
      <c r="Y6" s="9">
        <v>20</v>
      </c>
    </row>
    <row r="7" spans="1:25">
      <c r="A7" s="55"/>
      <c r="B7" s="57" t="s">
        <v>7</v>
      </c>
      <c r="C7" s="58">
        <f>Dane!C10</f>
        <v>6600</v>
      </c>
      <c r="E7" t="s">
        <v>20</v>
      </c>
      <c r="F7" s="10">
        <f>SUM(C5:C9)-C10</f>
        <v>59900</v>
      </c>
      <c r="G7" s="11"/>
      <c r="H7" s="11"/>
      <c r="I7" s="11"/>
      <c r="J7" s="11"/>
      <c r="K7" s="11"/>
      <c r="L7" s="11"/>
      <c r="M7" s="11"/>
      <c r="N7" s="11"/>
      <c r="O7" s="11"/>
      <c r="P7" s="11"/>
      <c r="Q7" s="11"/>
      <c r="R7" s="11"/>
      <c r="S7" s="11"/>
      <c r="T7" s="11"/>
      <c r="U7" s="11"/>
      <c r="V7" s="11"/>
      <c r="W7" s="11"/>
      <c r="X7" s="11"/>
      <c r="Y7" s="12"/>
    </row>
    <row r="8" spans="1:25">
      <c r="A8" s="55"/>
      <c r="B8" s="57" t="s">
        <v>4</v>
      </c>
      <c r="C8" s="58">
        <f>Dane!C11</f>
        <v>27500</v>
      </c>
      <c r="E8" t="s">
        <v>18</v>
      </c>
      <c r="F8" s="10">
        <f>C13</f>
        <v>4702.5</v>
      </c>
      <c r="G8" s="11"/>
      <c r="H8" s="11"/>
      <c r="I8" s="11"/>
      <c r="J8" s="11"/>
      <c r="K8" s="11"/>
      <c r="L8" s="11"/>
      <c r="M8" s="11"/>
      <c r="N8" s="11"/>
      <c r="O8" s="11"/>
      <c r="P8" s="11"/>
      <c r="Q8" s="11"/>
      <c r="R8" s="11"/>
      <c r="S8" s="11"/>
      <c r="T8" s="11"/>
      <c r="U8" s="11"/>
      <c r="V8" s="11"/>
      <c r="W8" s="11"/>
      <c r="X8" s="11"/>
      <c r="Y8" s="12"/>
    </row>
    <row r="9" spans="1:25">
      <c r="A9" s="59">
        <f>Dane!A12</f>
        <v>0.02</v>
      </c>
      <c r="B9" s="57" t="s">
        <v>1</v>
      </c>
      <c r="C9" s="60">
        <f>$A$9*C5</f>
        <v>6600</v>
      </c>
      <c r="E9" t="s">
        <v>21</v>
      </c>
      <c r="F9" s="35">
        <f>Harmonogram_kredytu!C3</f>
        <v>19246.248701843979</v>
      </c>
      <c r="G9" s="1">
        <f>Harmonogram_kredytu!D3</f>
        <v>19246.248701843979</v>
      </c>
      <c r="H9" s="1">
        <f>Harmonogram_kredytu!E3</f>
        <v>19246.248701843979</v>
      </c>
      <c r="I9" s="1">
        <f>Harmonogram_kredytu!F3</f>
        <v>19246.248701843979</v>
      </c>
      <c r="J9" s="1">
        <f>Harmonogram_kredytu!G3</f>
        <v>19246.248701843979</v>
      </c>
      <c r="K9" s="1">
        <f>Harmonogram_kredytu!H3</f>
        <v>19246.248701843979</v>
      </c>
      <c r="L9" s="1">
        <f>Harmonogram_kredytu!I3</f>
        <v>19246.248701843979</v>
      </c>
      <c r="M9" s="1">
        <f>Harmonogram_kredytu!J3</f>
        <v>19246.248701843979</v>
      </c>
      <c r="N9" s="1">
        <f>Harmonogram_kredytu!K3</f>
        <v>19246.248701843979</v>
      </c>
      <c r="O9" s="1">
        <f>Harmonogram_kredytu!L3</f>
        <v>19246.248701843979</v>
      </c>
      <c r="P9" s="1">
        <f>Harmonogram_kredytu!M3</f>
        <v>19246.248701843979</v>
      </c>
      <c r="Q9" s="1">
        <f>Harmonogram_kredytu!N3</f>
        <v>19246.248701843979</v>
      </c>
      <c r="R9" s="1">
        <f>Harmonogram_kredytu!O3</f>
        <v>19246.248701843979</v>
      </c>
      <c r="S9" s="1">
        <f>Harmonogram_kredytu!P3</f>
        <v>19246.248701843979</v>
      </c>
      <c r="T9" s="1">
        <f>Harmonogram_kredytu!Q3</f>
        <v>19246.248701843979</v>
      </c>
      <c r="U9" s="1">
        <f>Harmonogram_kredytu!R3</f>
        <v>19246.248701843979</v>
      </c>
      <c r="V9" s="1">
        <f>Harmonogram_kredytu!S3</f>
        <v>19246.248701843979</v>
      </c>
      <c r="W9" s="1">
        <f>Harmonogram_kredytu!T3</f>
        <v>19246.248701843979</v>
      </c>
      <c r="X9" s="1">
        <f>Harmonogram_kredytu!U3</f>
        <v>19246.248701843979</v>
      </c>
      <c r="Y9" s="13">
        <f>Harmonogram_kredytu!V3</f>
        <v>19246.248701843979</v>
      </c>
    </row>
    <row r="10" spans="1:25">
      <c r="A10" s="55"/>
      <c r="B10" s="57" t="s">
        <v>2</v>
      </c>
      <c r="C10" s="58">
        <f>Dane!C13</f>
        <v>313500</v>
      </c>
      <c r="E10" t="s">
        <v>22</v>
      </c>
      <c r="F10" s="36">
        <f>Harmonogram_kredytu!C5</f>
        <v>5138.7487018439788</v>
      </c>
      <c r="G10" s="2">
        <f>Harmonogram_kredytu!D5</f>
        <v>5369.9923934269573</v>
      </c>
      <c r="H10" s="2">
        <f>Harmonogram_kredytu!E5</f>
        <v>5611.6420511311699</v>
      </c>
      <c r="I10" s="2">
        <f>Harmonogram_kredytu!F5</f>
        <v>5864.1659434320736</v>
      </c>
      <c r="J10" s="2">
        <f>Harmonogram_kredytu!G5</f>
        <v>6128.0534108865158</v>
      </c>
      <c r="K10" s="2">
        <f>Harmonogram_kredytu!H5</f>
        <v>6403.8158143764085</v>
      </c>
      <c r="L10" s="2">
        <f>Harmonogram_kredytu!I5</f>
        <v>6691.9875260233457</v>
      </c>
      <c r="M10" s="2">
        <f>Harmonogram_kredytu!J5</f>
        <v>6993.1269646943965</v>
      </c>
      <c r="N10" s="2">
        <f>Harmonogram_kredytu!K5</f>
        <v>7307.8176781056463</v>
      </c>
      <c r="O10" s="2">
        <f>Harmonogram_kredytu!L5</f>
        <v>7636.669473620399</v>
      </c>
      <c r="P10" s="2">
        <f>Harmonogram_kredytu!M5</f>
        <v>7980.3195999333166</v>
      </c>
      <c r="Q10" s="2">
        <f>Harmonogram_kredytu!N5</f>
        <v>8339.4339819303168</v>
      </c>
      <c r="R10" s="2">
        <f>Harmonogram_kredytu!O5</f>
        <v>8714.70851111718</v>
      </c>
      <c r="S10" s="2">
        <f>Harmonogram_kredytu!P5</f>
        <v>9106.8703941174535</v>
      </c>
      <c r="T10" s="2">
        <f>Harmonogram_kredytu!Q5</f>
        <v>9516.6795618527394</v>
      </c>
      <c r="U10" s="2">
        <f>Harmonogram_kredytu!R5</f>
        <v>9944.9301421361124</v>
      </c>
      <c r="V10" s="2">
        <f>Harmonogram_kredytu!S5</f>
        <v>10392.451998532237</v>
      </c>
      <c r="W10" s="2">
        <f>Harmonogram_kredytu!T5</f>
        <v>10860.112338466188</v>
      </c>
      <c r="X10" s="2">
        <f>Harmonogram_kredytu!U5</f>
        <v>11348.817393697165</v>
      </c>
      <c r="Y10" s="38">
        <f>Harmonogram_kredytu!V5</f>
        <v>11859.514176413539</v>
      </c>
    </row>
    <row r="11" spans="1:25">
      <c r="A11" s="55"/>
      <c r="B11" s="57" t="s">
        <v>3</v>
      </c>
      <c r="C11" s="85">
        <f>Dane!C14</f>
        <v>4.4999999999999998E-2</v>
      </c>
      <c r="E11" t="s">
        <v>57</v>
      </c>
      <c r="F11" s="36">
        <f>Harmonogram_kredytu!C4</f>
        <v>14107.5</v>
      </c>
      <c r="G11" s="2">
        <f>Harmonogram_kredytu!D4</f>
        <v>13876.256308417022</v>
      </c>
      <c r="H11" s="2">
        <f>Harmonogram_kredytu!E4</f>
        <v>13634.606650712809</v>
      </c>
      <c r="I11" s="2">
        <f>Harmonogram_kredytu!F4</f>
        <v>13382.082758411905</v>
      </c>
      <c r="J11" s="2">
        <f>Harmonogram_kredytu!G4</f>
        <v>13118.195290957463</v>
      </c>
      <c r="K11" s="2">
        <f>Harmonogram_kredytu!H4</f>
        <v>12842.43288746757</v>
      </c>
      <c r="L11" s="2">
        <f>Harmonogram_kredytu!I4</f>
        <v>12554.261175820633</v>
      </c>
      <c r="M11" s="2">
        <f>Harmonogram_kredytu!J4</f>
        <v>12253.121737149582</v>
      </c>
      <c r="N11" s="2">
        <f>Harmonogram_kredytu!K4</f>
        <v>11938.431023738332</v>
      </c>
      <c r="O11" s="2">
        <f>Harmonogram_kredytu!L4</f>
        <v>11609.57922822358</v>
      </c>
      <c r="P11" s="2">
        <f>Harmonogram_kredytu!M4</f>
        <v>11265.929101910662</v>
      </c>
      <c r="Q11" s="2">
        <f>Harmonogram_kredytu!N4</f>
        <v>10906.814719913662</v>
      </c>
      <c r="R11" s="2">
        <f>Harmonogram_kredytu!O4</f>
        <v>10531.540190726799</v>
      </c>
      <c r="S11" s="2">
        <f>Harmonogram_kredytu!P4</f>
        <v>10139.378307726525</v>
      </c>
      <c r="T11" s="2">
        <f>Harmonogram_kredytu!Q4</f>
        <v>9729.5691399912394</v>
      </c>
      <c r="U11" s="2">
        <f>Harmonogram_kredytu!R4</f>
        <v>9301.3185597078664</v>
      </c>
      <c r="V11" s="2">
        <f>Harmonogram_kredytu!S4</f>
        <v>8853.796703311742</v>
      </c>
      <c r="W11" s="2">
        <f>Harmonogram_kredytu!T4</f>
        <v>8386.136363377791</v>
      </c>
      <c r="X11" s="2">
        <f>Harmonogram_kredytu!U4</f>
        <v>7897.4313081468126</v>
      </c>
      <c r="Y11" s="38">
        <f>Harmonogram_kredytu!V4</f>
        <v>7386.73452543044</v>
      </c>
    </row>
    <row r="12" spans="1:25">
      <c r="A12" s="55"/>
      <c r="B12" s="57" t="s">
        <v>36</v>
      </c>
      <c r="C12" s="58">
        <f>Dane!C15</f>
        <v>30</v>
      </c>
      <c r="E12" t="s">
        <v>16</v>
      </c>
      <c r="F12" s="10">
        <f>C22</f>
        <v>11624</v>
      </c>
      <c r="G12" s="1">
        <f t="shared" ref="G12:N12" si="0">F12*(1+$C$35)</f>
        <v>11972.720000000001</v>
      </c>
      <c r="H12" s="1">
        <f t="shared" si="0"/>
        <v>12331.901600000001</v>
      </c>
      <c r="I12" s="1">
        <f t="shared" si="0"/>
        <v>12701.858648000001</v>
      </c>
      <c r="J12" s="1">
        <f t="shared" si="0"/>
        <v>13082.914407440001</v>
      </c>
      <c r="K12" s="1">
        <f t="shared" si="0"/>
        <v>13475.401839663202</v>
      </c>
      <c r="L12" s="1">
        <f t="shared" si="0"/>
        <v>13879.663894853098</v>
      </c>
      <c r="M12" s="1">
        <f t="shared" si="0"/>
        <v>14296.053811698692</v>
      </c>
      <c r="N12" s="1">
        <f t="shared" si="0"/>
        <v>14724.935426049653</v>
      </c>
      <c r="O12" s="1">
        <f t="shared" ref="O12:X12" si="1">N12*(1+$C$35)</f>
        <v>15166.683488831142</v>
      </c>
      <c r="P12" s="1">
        <f t="shared" si="1"/>
        <v>15621.683993496077</v>
      </c>
      <c r="Q12" s="1">
        <f t="shared" si="1"/>
        <v>16090.334513300961</v>
      </c>
      <c r="R12" s="1">
        <f t="shared" si="1"/>
        <v>16573.044548699989</v>
      </c>
      <c r="S12" s="1">
        <f t="shared" si="1"/>
        <v>17070.23588516099</v>
      </c>
      <c r="T12" s="1">
        <f t="shared" si="1"/>
        <v>17582.342961715818</v>
      </c>
      <c r="U12" s="1">
        <f t="shared" si="1"/>
        <v>18109.813250567295</v>
      </c>
      <c r="V12" s="1">
        <f t="shared" si="1"/>
        <v>18653.107648084315</v>
      </c>
      <c r="W12" s="1">
        <f t="shared" si="1"/>
        <v>19212.700877526844</v>
      </c>
      <c r="X12" s="1">
        <f t="shared" si="1"/>
        <v>19789.08190385265</v>
      </c>
      <c r="Y12" s="13">
        <f>X12*(1+$C$35)</f>
        <v>20382.754360968229</v>
      </c>
    </row>
    <row r="13" spans="1:25">
      <c r="A13" s="55"/>
      <c r="B13" s="57" t="s">
        <v>5</v>
      </c>
      <c r="C13" s="58">
        <f>Dane!C16</f>
        <v>4702.5</v>
      </c>
      <c r="E13" t="s">
        <v>19</v>
      </c>
      <c r="F13" s="14"/>
      <c r="G13" s="11"/>
      <c r="H13" s="11"/>
      <c r="I13" s="11"/>
      <c r="J13" s="11"/>
      <c r="K13" s="11"/>
      <c r="L13" s="11"/>
      <c r="M13" s="11"/>
      <c r="N13" s="11"/>
      <c r="O13" s="11"/>
      <c r="P13" s="11"/>
      <c r="Q13" s="11"/>
      <c r="R13" s="11"/>
      <c r="S13" s="11"/>
      <c r="T13" s="11"/>
      <c r="U13" s="11"/>
      <c r="V13" s="11"/>
      <c r="W13" s="11"/>
      <c r="X13" s="11"/>
      <c r="Y13" s="13">
        <f>C23</f>
        <v>596016.70744090632</v>
      </c>
    </row>
    <row r="14" spans="1:25" ht="15.75" thickBot="1">
      <c r="A14" s="55"/>
      <c r="B14" s="61" t="s">
        <v>9</v>
      </c>
      <c r="C14" s="60">
        <f>C5-C10+C8</f>
        <v>44000</v>
      </c>
      <c r="E14" t="s">
        <v>23</v>
      </c>
      <c r="F14" s="14"/>
      <c r="G14" s="11"/>
      <c r="H14" s="11"/>
      <c r="I14" s="11"/>
      <c r="J14" s="11"/>
      <c r="K14" s="11"/>
      <c r="L14" s="11"/>
      <c r="M14" s="11"/>
      <c r="N14" s="11"/>
      <c r="O14" s="11"/>
      <c r="P14" s="11"/>
      <c r="Q14" s="11"/>
      <c r="R14" s="11"/>
      <c r="S14" s="11"/>
      <c r="T14" s="11"/>
      <c r="U14" s="11"/>
      <c r="V14" s="11"/>
      <c r="W14" s="11"/>
      <c r="X14" s="11"/>
      <c r="Y14" s="26">
        <f>Harmonogram_kredytu!V6</f>
        <v>152290.14194426293</v>
      </c>
    </row>
    <row r="15" spans="1:25" ht="16.5" thickBot="1">
      <c r="A15" s="55"/>
      <c r="B15" s="62" t="s">
        <v>6</v>
      </c>
      <c r="C15" s="58">
        <f>Dane!C18</f>
        <v>264</v>
      </c>
      <c r="E15" s="27" t="s">
        <v>70</v>
      </c>
      <c r="F15" s="28">
        <f t="shared" ref="F15:Y15" si="2">-(F7+F8+F9+F12)+F13-F14</f>
        <v>-95472.748701843986</v>
      </c>
      <c r="G15" s="28">
        <f t="shared" si="2"/>
        <v>-31218.96870184398</v>
      </c>
      <c r="H15" s="28">
        <f t="shared" si="2"/>
        <v>-31578.15030184398</v>
      </c>
      <c r="I15" s="28">
        <f t="shared" si="2"/>
        <v>-31948.10734984398</v>
      </c>
      <c r="J15" s="28">
        <f t="shared" si="2"/>
        <v>-32329.163109283982</v>
      </c>
      <c r="K15" s="28">
        <f t="shared" si="2"/>
        <v>-32721.650541507181</v>
      </c>
      <c r="L15" s="28">
        <f t="shared" si="2"/>
        <v>-33125.912596697075</v>
      </c>
      <c r="M15" s="28">
        <f t="shared" si="2"/>
        <v>-33542.302513542672</v>
      </c>
      <c r="N15" s="28">
        <f t="shared" si="2"/>
        <v>-33971.184127893634</v>
      </c>
      <c r="O15" s="28">
        <f t="shared" si="2"/>
        <v>-34412.932190675121</v>
      </c>
      <c r="P15" s="28">
        <f t="shared" si="2"/>
        <v>-34867.93269534006</v>
      </c>
      <c r="Q15" s="28">
        <f t="shared" si="2"/>
        <v>-35336.583215144943</v>
      </c>
      <c r="R15" s="28">
        <f t="shared" si="2"/>
        <v>-35819.293250543968</v>
      </c>
      <c r="S15" s="28">
        <f t="shared" si="2"/>
        <v>-36316.484587004968</v>
      </c>
      <c r="T15" s="28">
        <f t="shared" si="2"/>
        <v>-36828.591663559797</v>
      </c>
      <c r="U15" s="28">
        <f t="shared" si="2"/>
        <v>-37356.06195241127</v>
      </c>
      <c r="V15" s="28">
        <f t="shared" si="2"/>
        <v>-37899.35634992829</v>
      </c>
      <c r="W15" s="28">
        <f t="shared" si="2"/>
        <v>-38458.949579370819</v>
      </c>
      <c r="X15" s="28">
        <f t="shared" si="2"/>
        <v>-39035.330605696625</v>
      </c>
      <c r="Y15" s="39">
        <f t="shared" si="2"/>
        <v>404097.56243383116</v>
      </c>
    </row>
    <row r="16" spans="1:25">
      <c r="A16" s="55"/>
      <c r="B16" s="62" t="s">
        <v>14</v>
      </c>
      <c r="C16" s="58">
        <f>Dane!C19</f>
        <v>100</v>
      </c>
    </row>
    <row r="17" spans="1:25">
      <c r="A17" s="55"/>
      <c r="B17" s="62" t="s">
        <v>13</v>
      </c>
      <c r="C17" s="58">
        <f>Dane!C20</f>
        <v>300</v>
      </c>
      <c r="E17" s="3"/>
      <c r="F17" s="5"/>
      <c r="G17" s="5"/>
      <c r="H17" s="5"/>
      <c r="I17" s="5"/>
      <c r="J17" s="5"/>
      <c r="K17" s="5"/>
      <c r="L17" s="5"/>
      <c r="M17" s="5"/>
      <c r="N17" s="5"/>
      <c r="O17" s="5"/>
    </row>
    <row r="18" spans="1:25" ht="16.5" thickBot="1">
      <c r="A18" s="55"/>
      <c r="B18" s="62" t="s">
        <v>11</v>
      </c>
      <c r="C18" s="58">
        <f>Dane!C21</f>
        <v>4000</v>
      </c>
      <c r="E18" s="33" t="s">
        <v>25</v>
      </c>
    </row>
    <row r="19" spans="1:25">
      <c r="A19" s="55"/>
      <c r="B19" s="63" t="s">
        <v>44</v>
      </c>
      <c r="C19" s="58">
        <f>Dane!C22</f>
        <v>500</v>
      </c>
      <c r="E19" s="16" t="s">
        <v>17</v>
      </c>
      <c r="F19" s="7">
        <v>1</v>
      </c>
      <c r="G19" s="8">
        <v>2</v>
      </c>
      <c r="H19" s="8">
        <v>3</v>
      </c>
      <c r="I19" s="8">
        <v>4</v>
      </c>
      <c r="J19" s="8">
        <v>5</v>
      </c>
      <c r="K19" s="8">
        <v>6</v>
      </c>
      <c r="L19" s="8">
        <v>7</v>
      </c>
      <c r="M19" s="8">
        <v>8</v>
      </c>
      <c r="N19" s="25">
        <v>9</v>
      </c>
      <c r="O19" s="8">
        <v>10</v>
      </c>
      <c r="P19" s="44">
        <v>11</v>
      </c>
      <c r="Q19" s="25">
        <v>12</v>
      </c>
      <c r="R19" s="8">
        <v>13</v>
      </c>
      <c r="S19" s="44">
        <v>14</v>
      </c>
      <c r="T19" s="25">
        <v>15</v>
      </c>
      <c r="U19" s="8">
        <v>16</v>
      </c>
      <c r="V19" s="44">
        <v>17</v>
      </c>
      <c r="W19" s="25">
        <v>18</v>
      </c>
      <c r="X19" s="8">
        <v>19</v>
      </c>
      <c r="Y19" s="44">
        <v>20</v>
      </c>
    </row>
    <row r="20" spans="1:25">
      <c r="A20" s="55"/>
      <c r="B20" s="62" t="s">
        <v>43</v>
      </c>
      <c r="C20" s="58">
        <f>Dane!C23</f>
        <v>80</v>
      </c>
      <c r="E20" s="17" t="s">
        <v>33</v>
      </c>
      <c r="F20" s="10">
        <f>C27*A27</f>
        <v>21600</v>
      </c>
      <c r="G20" s="1">
        <f>F20*(1+$C$35)</f>
        <v>22248</v>
      </c>
      <c r="H20" s="1">
        <f t="shared" ref="H20:O20" si="3">G20*(1+$C$35)</f>
        <v>22915.440000000002</v>
      </c>
      <c r="I20" s="1">
        <f t="shared" si="3"/>
        <v>23602.903200000004</v>
      </c>
      <c r="J20" s="1">
        <f t="shared" si="3"/>
        <v>24310.990296000004</v>
      </c>
      <c r="K20" s="1">
        <f t="shared" si="3"/>
        <v>25040.320004880003</v>
      </c>
      <c r="L20" s="1">
        <f t="shared" si="3"/>
        <v>25791.529605026404</v>
      </c>
      <c r="M20" s="1">
        <f t="shared" si="3"/>
        <v>26565.275493177196</v>
      </c>
      <c r="N20" s="1">
        <f t="shared" si="3"/>
        <v>27362.233757972514</v>
      </c>
      <c r="O20" s="1">
        <f t="shared" si="3"/>
        <v>28183.100770711691</v>
      </c>
      <c r="P20" s="23">
        <f t="shared" ref="P20:R20" si="4">O20*(1+$C$35)</f>
        <v>29028.593793833043</v>
      </c>
      <c r="Q20" s="1">
        <f t="shared" si="4"/>
        <v>29899.451607648036</v>
      </c>
      <c r="R20" s="1">
        <f t="shared" si="4"/>
        <v>30796.435155877476</v>
      </c>
      <c r="S20" s="23">
        <f t="shared" ref="S20:Y20" si="5">R20*(1+$C$35)</f>
        <v>31720.328210553802</v>
      </c>
      <c r="T20" s="1">
        <f t="shared" si="5"/>
        <v>32671.938056870418</v>
      </c>
      <c r="U20" s="1">
        <f t="shared" si="5"/>
        <v>33652.096198576532</v>
      </c>
      <c r="V20" s="23">
        <f t="shared" si="5"/>
        <v>34661.659084533829</v>
      </c>
      <c r="W20" s="1">
        <f t="shared" si="5"/>
        <v>35701.508857069843</v>
      </c>
      <c r="X20" s="1">
        <f t="shared" si="5"/>
        <v>36772.554122781941</v>
      </c>
      <c r="Y20" s="47">
        <f t="shared" si="5"/>
        <v>37875.7307464654</v>
      </c>
    </row>
    <row r="21" spans="1:25">
      <c r="A21" s="55"/>
      <c r="B21" s="62" t="s">
        <v>45</v>
      </c>
      <c r="C21" s="58">
        <f>Dane!C24</f>
        <v>0</v>
      </c>
      <c r="E21" s="17" t="s">
        <v>29</v>
      </c>
      <c r="F21" s="10">
        <f>C28</f>
        <v>900</v>
      </c>
      <c r="G21" s="20"/>
      <c r="H21" s="20"/>
      <c r="I21" s="18">
        <f>$F$21*POWER((1+$C$35),H19)</f>
        <v>983.45429999999999</v>
      </c>
      <c r="J21" s="20"/>
      <c r="K21" s="20"/>
      <c r="L21" s="18">
        <f>$F$21*POWER((1+$C$35),K19)</f>
        <v>1074.6470668760999</v>
      </c>
      <c r="M21" s="20"/>
      <c r="N21" s="20"/>
      <c r="O21" s="18">
        <f>$F$21*POWER((1+$C$35),N19)</f>
        <v>1174.29586544632</v>
      </c>
      <c r="P21" s="20"/>
      <c r="Q21" s="20"/>
      <c r="R21" s="18">
        <f>$F$21*POWER((1+$C$35),Q19)</f>
        <v>1283.1847981615608</v>
      </c>
      <c r="S21" s="20"/>
      <c r="T21" s="20"/>
      <c r="U21" s="18">
        <f>$F$21*POWER((1+$C$35),T19)</f>
        <v>1402.1706749406881</v>
      </c>
      <c r="V21" s="20"/>
      <c r="W21" s="20"/>
      <c r="X21" s="18">
        <f>$F$21*POWER((1+$C$35),W19)</f>
        <v>1532.1897551159129</v>
      </c>
      <c r="Y21" s="12"/>
    </row>
    <row r="22" spans="1:25">
      <c r="A22" s="55"/>
      <c r="B22" s="64" t="s">
        <v>42</v>
      </c>
      <c r="C22" s="65">
        <f>SUM(C15:C18)+SUM(C19:C20)*A27+C21</f>
        <v>11624</v>
      </c>
      <c r="E22" s="17" t="s">
        <v>30</v>
      </c>
      <c r="F22" s="10">
        <f>C29*A27</f>
        <v>3600</v>
      </c>
      <c r="G22" s="18">
        <f>F22*(1+$C$35)</f>
        <v>3708</v>
      </c>
      <c r="H22" s="18">
        <f t="shared" ref="H22:O22" si="6">G22*(1+$C$35)</f>
        <v>3819.2400000000002</v>
      </c>
      <c r="I22" s="18">
        <f t="shared" si="6"/>
        <v>3933.8172000000004</v>
      </c>
      <c r="J22" s="18">
        <f t="shared" si="6"/>
        <v>4051.8317160000006</v>
      </c>
      <c r="K22" s="18">
        <f t="shared" si="6"/>
        <v>4173.3866674800011</v>
      </c>
      <c r="L22" s="18">
        <f t="shared" si="6"/>
        <v>4298.5882675044013</v>
      </c>
      <c r="M22" s="18">
        <f t="shared" si="6"/>
        <v>4427.5459155295339</v>
      </c>
      <c r="N22" s="18">
        <f t="shared" si="6"/>
        <v>4560.3722929954201</v>
      </c>
      <c r="O22" s="18">
        <f t="shared" si="6"/>
        <v>4697.1834617852828</v>
      </c>
      <c r="P22" s="24">
        <f t="shared" ref="P22:Y22" si="7">O22*(1+$C$35)</f>
        <v>4838.098965638841</v>
      </c>
      <c r="Q22" s="18">
        <f t="shared" si="7"/>
        <v>4983.241934608006</v>
      </c>
      <c r="R22" s="18">
        <f t="shared" si="7"/>
        <v>5132.739192646246</v>
      </c>
      <c r="S22" s="24">
        <f t="shared" si="7"/>
        <v>5286.721368425634</v>
      </c>
      <c r="T22" s="18">
        <f t="shared" si="7"/>
        <v>5445.323009478403</v>
      </c>
      <c r="U22" s="18">
        <f t="shared" si="7"/>
        <v>5608.682699762755</v>
      </c>
      <c r="V22" s="24">
        <f t="shared" si="7"/>
        <v>5776.9431807556375</v>
      </c>
      <c r="W22" s="18">
        <f t="shared" si="7"/>
        <v>5950.2514761783068</v>
      </c>
      <c r="X22" s="18">
        <f t="shared" si="7"/>
        <v>6128.7590204636563</v>
      </c>
      <c r="Y22" s="48">
        <f t="shared" si="7"/>
        <v>6312.6217910775658</v>
      </c>
    </row>
    <row r="23" spans="1:25">
      <c r="A23" s="66">
        <v>20</v>
      </c>
      <c r="B23" s="67" t="s">
        <v>12</v>
      </c>
      <c r="C23" s="60">
        <f>C5*POWER((1+C36),A23)</f>
        <v>596016.70744090632</v>
      </c>
      <c r="E23" s="15" t="s">
        <v>31</v>
      </c>
      <c r="F23" s="10">
        <f>C30</f>
        <v>500</v>
      </c>
      <c r="G23" s="20"/>
      <c r="H23" s="20"/>
      <c r="I23" s="18">
        <f>$F$23*POWER((1+$C$35),H19)</f>
        <v>546.36350000000004</v>
      </c>
      <c r="J23" s="20"/>
      <c r="K23" s="20"/>
      <c r="L23" s="18">
        <f>$F$23*POWER((1+$C$35),K19)</f>
        <v>597.02614826449997</v>
      </c>
      <c r="M23" s="20"/>
      <c r="N23" s="20"/>
      <c r="O23" s="18">
        <f>$F$23*POWER((1+$C$35),N19)</f>
        <v>652.38659191462227</v>
      </c>
      <c r="P23" s="20"/>
      <c r="Q23" s="20"/>
      <c r="R23" s="18">
        <f>$F$23*POWER((1+$C$35),Q19)</f>
        <v>712.88044342308933</v>
      </c>
      <c r="S23" s="20"/>
      <c r="T23" s="20"/>
      <c r="U23" s="18">
        <f>$F$23*POWER((1+$C$35),T19)</f>
        <v>778.9837083003822</v>
      </c>
      <c r="V23" s="20"/>
      <c r="W23" s="20"/>
      <c r="X23" s="18">
        <f>$F$23*POWER((1+$C$35),W19)</f>
        <v>851.21653061995164</v>
      </c>
      <c r="Y23" s="12"/>
    </row>
    <row r="24" spans="1:25" ht="15.75" thickBot="1">
      <c r="A24" s="55"/>
      <c r="B24" s="55"/>
      <c r="C24" s="55"/>
      <c r="E24" s="15" t="s">
        <v>32</v>
      </c>
      <c r="F24" s="10">
        <f>C31</f>
        <v>0</v>
      </c>
      <c r="G24" s="1">
        <f>F24*(1+$C$35)</f>
        <v>0</v>
      </c>
      <c r="H24" s="1">
        <f t="shared" ref="H24:O24" si="8">G24*(1+$C$35)</f>
        <v>0</v>
      </c>
      <c r="I24" s="1">
        <f t="shared" si="8"/>
        <v>0</v>
      </c>
      <c r="J24" s="1">
        <f t="shared" si="8"/>
        <v>0</v>
      </c>
      <c r="K24" s="1">
        <f t="shared" si="8"/>
        <v>0</v>
      </c>
      <c r="L24" s="1">
        <f t="shared" si="8"/>
        <v>0</v>
      </c>
      <c r="M24" s="1">
        <f t="shared" si="8"/>
        <v>0</v>
      </c>
      <c r="N24" s="1">
        <f t="shared" si="8"/>
        <v>0</v>
      </c>
      <c r="O24" s="46">
        <f t="shared" si="8"/>
        <v>0</v>
      </c>
      <c r="P24" s="23">
        <f t="shared" ref="P24:R24" si="9">O24*(1+$C$35)</f>
        <v>0</v>
      </c>
      <c r="Q24" s="1">
        <f t="shared" si="9"/>
        <v>0</v>
      </c>
      <c r="R24" s="46">
        <f t="shared" si="9"/>
        <v>0</v>
      </c>
      <c r="S24" s="23">
        <f t="shared" ref="S24:Y24" si="10">R24*(1+$C$35)</f>
        <v>0</v>
      </c>
      <c r="T24" s="1">
        <f t="shared" si="10"/>
        <v>0</v>
      </c>
      <c r="U24" s="46">
        <f t="shared" si="10"/>
        <v>0</v>
      </c>
      <c r="V24" s="23">
        <f t="shared" si="10"/>
        <v>0</v>
      </c>
      <c r="W24" s="1">
        <f t="shared" si="10"/>
        <v>0</v>
      </c>
      <c r="X24" s="46">
        <f t="shared" si="10"/>
        <v>0</v>
      </c>
      <c r="Y24" s="47">
        <f t="shared" si="10"/>
        <v>0</v>
      </c>
    </row>
    <row r="25" spans="1:25" ht="16.5" thickBot="1">
      <c r="A25" s="55"/>
      <c r="B25" s="56" t="s">
        <v>27</v>
      </c>
      <c r="C25" s="55"/>
      <c r="E25" s="27" t="s">
        <v>71</v>
      </c>
      <c r="F25" s="28">
        <f>-SUM(F20:F24)</f>
        <v>-26600</v>
      </c>
      <c r="G25" s="29">
        <f t="shared" ref="G25:O25" si="11">-SUM(G20:G24)</f>
        <v>-25956</v>
      </c>
      <c r="H25" s="29">
        <f t="shared" si="11"/>
        <v>-26734.680000000004</v>
      </c>
      <c r="I25" s="29">
        <f t="shared" si="11"/>
        <v>-29066.538200000006</v>
      </c>
      <c r="J25" s="29">
        <f t="shared" si="11"/>
        <v>-28362.822012000004</v>
      </c>
      <c r="K25" s="29">
        <f t="shared" si="11"/>
        <v>-29213.706672360004</v>
      </c>
      <c r="L25" s="29">
        <f t="shared" si="11"/>
        <v>-31761.791087671405</v>
      </c>
      <c r="M25" s="29">
        <f t="shared" si="11"/>
        <v>-30992.821408706732</v>
      </c>
      <c r="N25" s="29">
        <f t="shared" si="11"/>
        <v>-31922.606050967934</v>
      </c>
      <c r="O25" s="29">
        <f t="shared" si="11"/>
        <v>-34706.966689857909</v>
      </c>
      <c r="P25" s="45">
        <f t="shared" ref="P25:R25" si="12">-SUM(P20:P24)</f>
        <v>-33866.692759471887</v>
      </c>
      <c r="Q25" s="29">
        <f t="shared" si="12"/>
        <v>-34882.693542256042</v>
      </c>
      <c r="R25" s="29">
        <f t="shared" si="12"/>
        <v>-37925.239590108373</v>
      </c>
      <c r="S25" s="45">
        <f t="shared" ref="S25:X25" si="13">-SUM(S20:S24)</f>
        <v>-37007.049578979437</v>
      </c>
      <c r="T25" s="29">
        <f t="shared" si="13"/>
        <v>-38117.261066348823</v>
      </c>
      <c r="U25" s="29">
        <f t="shared" si="13"/>
        <v>-41441.933281580357</v>
      </c>
      <c r="V25" s="45">
        <f t="shared" si="13"/>
        <v>-40438.602265289468</v>
      </c>
      <c r="W25" s="29">
        <f t="shared" si="13"/>
        <v>-41651.760333248152</v>
      </c>
      <c r="X25" s="29">
        <f t="shared" si="13"/>
        <v>-45284.719428981465</v>
      </c>
      <c r="Y25" s="49">
        <f>-SUM(Y20:Y24)</f>
        <v>-44188.352537542967</v>
      </c>
    </row>
    <row r="26" spans="1:25">
      <c r="A26" s="55"/>
      <c r="B26" s="55"/>
      <c r="C26" s="55"/>
    </row>
    <row r="27" spans="1:25">
      <c r="A27" s="66">
        <f>Dane!A28</f>
        <v>12</v>
      </c>
      <c r="B27" s="62" t="s">
        <v>28</v>
      </c>
      <c r="C27" s="58">
        <f>Dane!C28</f>
        <v>1800</v>
      </c>
    </row>
    <row r="28" spans="1:25" ht="15.75">
      <c r="A28" s="55"/>
      <c r="B28" s="62" t="s">
        <v>29</v>
      </c>
      <c r="C28" s="58">
        <f>Dane!C29</f>
        <v>900</v>
      </c>
      <c r="E28" s="31" t="s">
        <v>35</v>
      </c>
      <c r="F28" s="32">
        <f t="shared" ref="F28:O28" si="14">F15-F25</f>
        <v>-68872.748701843986</v>
      </c>
      <c r="G28" s="32">
        <f t="shared" si="14"/>
        <v>-5262.9687018439799</v>
      </c>
      <c r="H28" s="32">
        <f t="shared" si="14"/>
        <v>-4843.4703018439759</v>
      </c>
      <c r="I28" s="32">
        <f t="shared" si="14"/>
        <v>-2881.5691498439737</v>
      </c>
      <c r="J28" s="32">
        <f t="shared" si="14"/>
        <v>-3966.3410972839774</v>
      </c>
      <c r="K28" s="32">
        <f t="shared" si="14"/>
        <v>-3507.9438691471769</v>
      </c>
      <c r="L28" s="32">
        <f t="shared" si="14"/>
        <v>-1364.1215090256701</v>
      </c>
      <c r="M28" s="32">
        <f t="shared" si="14"/>
        <v>-2549.4811048359406</v>
      </c>
      <c r="N28" s="32">
        <f t="shared" si="14"/>
        <v>-2048.5780769256999</v>
      </c>
      <c r="O28" s="32">
        <f t="shared" si="14"/>
        <v>294.03449918278784</v>
      </c>
      <c r="P28" s="32">
        <f t="shared" ref="P28:X28" si="15">P15-P25</f>
        <v>-1001.2399358681723</v>
      </c>
      <c r="Q28" s="32">
        <f t="shared" si="15"/>
        <v>-453.88967288890126</v>
      </c>
      <c r="R28" s="32">
        <f t="shared" si="15"/>
        <v>2105.9463395644052</v>
      </c>
      <c r="S28" s="32">
        <f t="shared" si="15"/>
        <v>690.56499197446828</v>
      </c>
      <c r="T28" s="32">
        <f t="shared" si="15"/>
        <v>1288.6694027890262</v>
      </c>
      <c r="U28" s="32">
        <f t="shared" si="15"/>
        <v>4085.8713291690874</v>
      </c>
      <c r="V28" s="32">
        <f t="shared" si="15"/>
        <v>2539.245915361178</v>
      </c>
      <c r="W28" s="32">
        <f t="shared" si="15"/>
        <v>3192.8107538773329</v>
      </c>
      <c r="X28" s="32">
        <f t="shared" si="15"/>
        <v>6249.3888232848403</v>
      </c>
      <c r="Y28" s="32">
        <f>Y15-Y25</f>
        <v>448285.91497137415</v>
      </c>
    </row>
    <row r="29" spans="1:25" ht="31.5">
      <c r="A29" s="59">
        <f>Dane!A29</f>
        <v>0.5</v>
      </c>
      <c r="B29" s="62" t="s">
        <v>30</v>
      </c>
      <c r="C29" s="58">
        <f>Dane!C30</f>
        <v>300</v>
      </c>
      <c r="E29" s="42" t="s">
        <v>50</v>
      </c>
      <c r="F29" s="32">
        <f>F28</f>
        <v>-68872.748701843986</v>
      </c>
      <c r="G29" s="32" t="e">
        <f>G28*(1-$C$38)</f>
        <v>#REF!</v>
      </c>
      <c r="H29" s="32" t="e">
        <f t="shared" ref="H29:N29" si="16">H28*(1-$C$38)</f>
        <v>#REF!</v>
      </c>
      <c r="I29" s="32" t="e">
        <f t="shared" si="16"/>
        <v>#REF!</v>
      </c>
      <c r="J29" s="32" t="e">
        <f t="shared" si="16"/>
        <v>#REF!</v>
      </c>
      <c r="K29" s="32" t="e">
        <f t="shared" si="16"/>
        <v>#REF!</v>
      </c>
      <c r="L29" s="32" t="e">
        <f t="shared" si="16"/>
        <v>#REF!</v>
      </c>
      <c r="M29" s="32" t="e">
        <f t="shared" si="16"/>
        <v>#REF!</v>
      </c>
      <c r="N29" s="32" t="e">
        <f t="shared" si="16"/>
        <v>#REF!</v>
      </c>
      <c r="O29" s="32" t="e">
        <f t="shared" ref="O29" si="17">O28*(1-$C$38)</f>
        <v>#REF!</v>
      </c>
      <c r="P29" s="32" t="e">
        <f t="shared" ref="P29" si="18">P28*(1-$C$38)</f>
        <v>#REF!</v>
      </c>
      <c r="Q29" s="32" t="e">
        <f t="shared" ref="Q29" si="19">Q28*(1-$C$38)</f>
        <v>#REF!</v>
      </c>
      <c r="R29" s="32" t="e">
        <f t="shared" ref="R29" si="20">R28*(1-$C$38)</f>
        <v>#REF!</v>
      </c>
      <c r="S29" s="32" t="e">
        <f t="shared" ref="S29" si="21">S28*(1-$C$38)</f>
        <v>#REF!</v>
      </c>
      <c r="T29" s="32" t="e">
        <f t="shared" ref="T29" si="22">T28*(1-$C$38)</f>
        <v>#REF!</v>
      </c>
      <c r="U29" s="32" t="e">
        <f t="shared" ref="U29" si="23">U28*(1-$C$38)</f>
        <v>#REF!</v>
      </c>
      <c r="V29" s="32" t="e">
        <f t="shared" ref="V29" si="24">V28*(1-$C$38)</f>
        <v>#REF!</v>
      </c>
      <c r="W29" s="32" t="e">
        <f t="shared" ref="W29" si="25">W28*(1-$C$38)</f>
        <v>#REF!</v>
      </c>
      <c r="X29" s="32" t="e">
        <f t="shared" ref="X29" si="26">X28*(1-$C$38)</f>
        <v>#REF!</v>
      </c>
      <c r="Y29" s="32">
        <f t="shared" ref="Y29" si="27">Y28</f>
        <v>448285.91497137415</v>
      </c>
    </row>
    <row r="30" spans="1:25">
      <c r="A30" s="55"/>
      <c r="B30" s="62" t="s">
        <v>31</v>
      </c>
      <c r="C30" s="58">
        <f>Dane!C31</f>
        <v>500</v>
      </c>
    </row>
    <row r="31" spans="1:25">
      <c r="A31" s="55"/>
      <c r="B31" s="62" t="s">
        <v>32</v>
      </c>
      <c r="C31" s="58">
        <f>Dane!C32</f>
        <v>0</v>
      </c>
    </row>
    <row r="32" spans="1:25">
      <c r="A32" s="55"/>
      <c r="B32" s="62" t="s">
        <v>34</v>
      </c>
      <c r="C32" s="68">
        <f>C35</f>
        <v>0.03</v>
      </c>
    </row>
    <row r="33" spans="1:25">
      <c r="A33" s="55"/>
      <c r="B33" s="56"/>
      <c r="C33" s="55"/>
    </row>
    <row r="34" spans="1:25" ht="31.5">
      <c r="A34" s="55"/>
      <c r="B34" s="56" t="s">
        <v>47</v>
      </c>
      <c r="C34" s="55"/>
      <c r="E34" s="41" t="s">
        <v>46</v>
      </c>
      <c r="F34" s="41">
        <f>F28</f>
        <v>-68872.748701843986</v>
      </c>
      <c r="G34" s="41">
        <f t="shared" ref="G34:O34" si="28">G28+F34</f>
        <v>-74135.717403687973</v>
      </c>
      <c r="H34" s="41">
        <f t="shared" si="28"/>
        <v>-78979.187705531949</v>
      </c>
      <c r="I34" s="41">
        <f t="shared" si="28"/>
        <v>-81860.756855375919</v>
      </c>
      <c r="J34" s="41">
        <f t="shared" si="28"/>
        <v>-85827.097952659897</v>
      </c>
      <c r="K34" s="41">
        <f t="shared" si="28"/>
        <v>-89335.04182180707</v>
      </c>
      <c r="L34" s="41">
        <f t="shared" si="28"/>
        <v>-90699.163330832744</v>
      </c>
      <c r="M34" s="41">
        <f t="shared" si="28"/>
        <v>-93248.644435668684</v>
      </c>
      <c r="N34" s="41">
        <f t="shared" si="28"/>
        <v>-95297.222512594381</v>
      </c>
      <c r="O34" s="41">
        <f t="shared" si="28"/>
        <v>-95003.188013411593</v>
      </c>
      <c r="P34" s="41">
        <f t="shared" ref="P34:Y34" si="29">P28+O34</f>
        <v>-96004.427949279765</v>
      </c>
      <c r="Q34" s="41">
        <f t="shared" si="29"/>
        <v>-96458.317622168659</v>
      </c>
      <c r="R34" s="41">
        <f t="shared" si="29"/>
        <v>-94352.371282604261</v>
      </c>
      <c r="S34" s="41">
        <f t="shared" si="29"/>
        <v>-93661.806290629786</v>
      </c>
      <c r="T34" s="41">
        <f t="shared" si="29"/>
        <v>-92373.136887840752</v>
      </c>
      <c r="U34" s="41">
        <f t="shared" si="29"/>
        <v>-88287.265558671672</v>
      </c>
      <c r="V34" s="41">
        <f t="shared" si="29"/>
        <v>-85748.019643310487</v>
      </c>
      <c r="W34" s="41">
        <f t="shared" si="29"/>
        <v>-82555.208889433154</v>
      </c>
      <c r="X34" s="41">
        <f t="shared" si="29"/>
        <v>-76305.820066148313</v>
      </c>
      <c r="Y34" s="41">
        <f t="shared" si="29"/>
        <v>371980.09490522585</v>
      </c>
    </row>
    <row r="35" spans="1:25" ht="31.5">
      <c r="A35" s="55"/>
      <c r="B35" s="69" t="s">
        <v>15</v>
      </c>
      <c r="C35" s="70">
        <f>Dane!C35</f>
        <v>0.03</v>
      </c>
      <c r="E35" s="41" t="s">
        <v>49</v>
      </c>
      <c r="F35" s="32">
        <f>F28</f>
        <v>-68872.748701843986</v>
      </c>
      <c r="G35" s="32" t="e">
        <f>G29+F35</f>
        <v>#REF!</v>
      </c>
      <c r="H35" s="32" t="e">
        <f t="shared" ref="H35:O35" si="30">H29+G35</f>
        <v>#REF!</v>
      </c>
      <c r="I35" s="32" t="e">
        <f t="shared" si="30"/>
        <v>#REF!</v>
      </c>
      <c r="J35" s="32" t="e">
        <f t="shared" si="30"/>
        <v>#REF!</v>
      </c>
      <c r="K35" s="32" t="e">
        <f t="shared" si="30"/>
        <v>#REF!</v>
      </c>
      <c r="L35" s="32" t="e">
        <f t="shared" si="30"/>
        <v>#REF!</v>
      </c>
      <c r="M35" s="32" t="e">
        <f t="shared" si="30"/>
        <v>#REF!</v>
      </c>
      <c r="N35" s="32" t="e">
        <f t="shared" si="30"/>
        <v>#REF!</v>
      </c>
      <c r="O35" s="32" t="e">
        <f t="shared" si="30"/>
        <v>#REF!</v>
      </c>
      <c r="P35" s="32" t="e">
        <f t="shared" ref="P35:Y35" si="31">P29+O35</f>
        <v>#REF!</v>
      </c>
      <c r="Q35" s="32" t="e">
        <f t="shared" si="31"/>
        <v>#REF!</v>
      </c>
      <c r="R35" s="32" t="e">
        <f t="shared" si="31"/>
        <v>#REF!</v>
      </c>
      <c r="S35" s="32" t="e">
        <f t="shared" si="31"/>
        <v>#REF!</v>
      </c>
      <c r="T35" s="32" t="e">
        <f t="shared" si="31"/>
        <v>#REF!</v>
      </c>
      <c r="U35" s="32" t="e">
        <f t="shared" si="31"/>
        <v>#REF!</v>
      </c>
      <c r="V35" s="32" t="e">
        <f t="shared" si="31"/>
        <v>#REF!</v>
      </c>
      <c r="W35" s="32" t="e">
        <f t="shared" si="31"/>
        <v>#REF!</v>
      </c>
      <c r="X35" s="32" t="e">
        <f t="shared" si="31"/>
        <v>#REF!</v>
      </c>
      <c r="Y35" s="32" t="e">
        <f t="shared" si="31"/>
        <v>#REF!</v>
      </c>
    </row>
    <row r="36" spans="1:25">
      <c r="A36" s="55"/>
      <c r="B36" s="69" t="s">
        <v>56</v>
      </c>
      <c r="C36" s="70">
        <f>Dane!C36</f>
        <v>0.03</v>
      </c>
    </row>
    <row r="37" spans="1:25" ht="15.75">
      <c r="A37" s="55"/>
      <c r="B37" s="69" t="s">
        <v>10</v>
      </c>
      <c r="C37" s="70">
        <f>Dane!C37</f>
        <v>0.05</v>
      </c>
      <c r="E37" s="81" t="s">
        <v>53</v>
      </c>
      <c r="F37" s="82">
        <f>NPV(C37,G28:Y28)+F28</f>
        <v>95024.07549541301</v>
      </c>
    </row>
    <row r="38" spans="1:25" ht="15.75">
      <c r="A38" s="55"/>
      <c r="B38" s="69" t="s">
        <v>48</v>
      </c>
      <c r="C38" s="70" t="e">
        <f>Dane!#REF!</f>
        <v>#REF!</v>
      </c>
      <c r="E38" s="81" t="s">
        <v>54</v>
      </c>
      <c r="F38" s="82" t="e">
        <f>NPV(C37,G29:Y29)+F29</f>
        <v>#REF!</v>
      </c>
    </row>
    <row r="40" spans="1:25">
      <c r="E40"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4"/>
  <dimension ref="A1:AI40"/>
  <sheetViews>
    <sheetView showGridLines="0" topLeftCell="D13" zoomScale="85" zoomScaleNormal="85" workbookViewId="0">
      <selection activeCell="D29" sqref="D29"/>
    </sheetView>
  </sheetViews>
  <sheetFormatPr defaultRowHeight="15"/>
  <cols>
    <col min="1" max="1" width="4.42578125" customWidth="1"/>
    <col min="2" max="2" width="47.85546875" customWidth="1"/>
    <col min="3" max="3" width="14.7109375" customWidth="1"/>
    <col min="4" max="4" width="13" customWidth="1"/>
    <col min="5" max="5" width="46.140625" customWidth="1"/>
    <col min="6" max="6" width="14" customWidth="1"/>
    <col min="7" max="7" width="11.5703125" bestFit="1" customWidth="1"/>
    <col min="8" max="8" width="12.28515625" customWidth="1"/>
    <col min="9" max="9" width="11.5703125" customWidth="1"/>
    <col min="10" max="10" width="11.85546875" customWidth="1"/>
    <col min="11" max="11" width="12.7109375" customWidth="1"/>
    <col min="12" max="13" width="11.85546875" customWidth="1"/>
    <col min="14" max="14" width="12.5703125" customWidth="1"/>
    <col min="15" max="15" width="12.85546875" customWidth="1"/>
    <col min="16" max="35" width="12" customWidth="1"/>
  </cols>
  <sheetData>
    <row r="1" spans="1:35" ht="21">
      <c r="B1" s="43" t="s">
        <v>55</v>
      </c>
    </row>
    <row r="2" spans="1:35">
      <c r="A2" s="55"/>
      <c r="B2" s="55"/>
      <c r="C2" s="83" t="s">
        <v>66</v>
      </c>
    </row>
    <row r="3" spans="1:35">
      <c r="A3" s="55"/>
      <c r="B3" s="56" t="s">
        <v>26</v>
      </c>
      <c r="C3" s="83" t="s">
        <v>67</v>
      </c>
    </row>
    <row r="4" spans="1:35">
      <c r="A4" s="55"/>
      <c r="B4" s="55"/>
      <c r="C4" s="55"/>
    </row>
    <row r="5" spans="1:35" ht="16.5" thickBot="1">
      <c r="A5" s="55"/>
      <c r="B5" s="57" t="s">
        <v>8</v>
      </c>
      <c r="C5" s="58">
        <f>Dane!C8</f>
        <v>330000</v>
      </c>
      <c r="E5" s="33" t="s">
        <v>24</v>
      </c>
    </row>
    <row r="6" spans="1:35">
      <c r="A6" s="55"/>
      <c r="B6" s="57" t="s">
        <v>0</v>
      </c>
      <c r="C6" s="58">
        <f>Dane!C9</f>
        <v>2700</v>
      </c>
      <c r="E6" s="6" t="s">
        <v>17</v>
      </c>
      <c r="F6" s="7">
        <v>1</v>
      </c>
      <c r="G6" s="8">
        <v>2</v>
      </c>
      <c r="H6" s="8">
        <v>3</v>
      </c>
      <c r="I6" s="8">
        <v>4</v>
      </c>
      <c r="J6" s="8">
        <v>5</v>
      </c>
      <c r="K6" s="8">
        <v>6</v>
      </c>
      <c r="L6" s="8">
        <v>7</v>
      </c>
      <c r="M6" s="8">
        <v>8</v>
      </c>
      <c r="N6" s="8">
        <v>9</v>
      </c>
      <c r="O6" s="8">
        <v>10</v>
      </c>
      <c r="P6" s="8">
        <v>11</v>
      </c>
      <c r="Q6" s="8">
        <v>12</v>
      </c>
      <c r="R6" s="8">
        <v>13</v>
      </c>
      <c r="S6" s="8">
        <v>14</v>
      </c>
      <c r="T6" s="8">
        <v>15</v>
      </c>
      <c r="U6" s="8">
        <v>16</v>
      </c>
      <c r="V6" s="8">
        <v>17</v>
      </c>
      <c r="W6" s="8">
        <v>18</v>
      </c>
      <c r="X6" s="8">
        <v>19</v>
      </c>
      <c r="Y6" s="8">
        <v>20</v>
      </c>
      <c r="Z6" s="8">
        <v>21</v>
      </c>
      <c r="AA6" s="8">
        <v>22</v>
      </c>
      <c r="AB6" s="8">
        <v>23</v>
      </c>
      <c r="AC6" s="8">
        <v>24</v>
      </c>
      <c r="AD6" s="8">
        <v>25</v>
      </c>
      <c r="AE6" s="8">
        <v>26</v>
      </c>
      <c r="AF6" s="8">
        <v>27</v>
      </c>
      <c r="AG6" s="8">
        <v>28</v>
      </c>
      <c r="AH6" s="8">
        <v>29</v>
      </c>
      <c r="AI6" s="9">
        <v>30</v>
      </c>
    </row>
    <row r="7" spans="1:35">
      <c r="A7" s="55"/>
      <c r="B7" s="57" t="s">
        <v>7</v>
      </c>
      <c r="C7" s="58">
        <f>Dane!C10</f>
        <v>6600</v>
      </c>
      <c r="E7" t="s">
        <v>20</v>
      </c>
      <c r="F7" s="10">
        <f>SUM(C5:C9)-C10</f>
        <v>59900</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2"/>
    </row>
    <row r="8" spans="1:35">
      <c r="A8" s="55"/>
      <c r="B8" s="57" t="s">
        <v>4</v>
      </c>
      <c r="C8" s="58">
        <f>Dane!C11</f>
        <v>27500</v>
      </c>
      <c r="E8" t="s">
        <v>18</v>
      </c>
      <c r="F8" s="10">
        <f>C13</f>
        <v>4702.5</v>
      </c>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1:35">
      <c r="A9" s="59">
        <f>Dane!A12</f>
        <v>0.02</v>
      </c>
      <c r="B9" s="57" t="s">
        <v>1</v>
      </c>
      <c r="C9" s="60">
        <f>$A$9*C5</f>
        <v>6600</v>
      </c>
      <c r="E9" t="s">
        <v>21</v>
      </c>
      <c r="F9" s="35">
        <f>Harmonogram_kredytu!C3</f>
        <v>19246.248701843979</v>
      </c>
      <c r="G9" s="1">
        <f>Harmonogram_kredytu!D3</f>
        <v>19246.248701843979</v>
      </c>
      <c r="H9" s="1">
        <f>Harmonogram_kredytu!E3</f>
        <v>19246.248701843979</v>
      </c>
      <c r="I9" s="1">
        <f>Harmonogram_kredytu!F3</f>
        <v>19246.248701843979</v>
      </c>
      <c r="J9" s="1">
        <f>Harmonogram_kredytu!G3</f>
        <v>19246.248701843979</v>
      </c>
      <c r="K9" s="1">
        <f>Harmonogram_kredytu!H3</f>
        <v>19246.248701843979</v>
      </c>
      <c r="L9" s="1">
        <f>Harmonogram_kredytu!I3</f>
        <v>19246.248701843979</v>
      </c>
      <c r="M9" s="1">
        <f>Harmonogram_kredytu!J3</f>
        <v>19246.248701843979</v>
      </c>
      <c r="N9" s="1">
        <f>Harmonogram_kredytu!K3</f>
        <v>19246.248701843979</v>
      </c>
      <c r="O9" s="1">
        <f>Harmonogram_kredytu!L3</f>
        <v>19246.248701843979</v>
      </c>
      <c r="P9" s="1">
        <f>Harmonogram_kredytu!M3</f>
        <v>19246.248701843979</v>
      </c>
      <c r="Q9" s="1">
        <f>Harmonogram_kredytu!N3</f>
        <v>19246.248701843979</v>
      </c>
      <c r="R9" s="1">
        <f>Harmonogram_kredytu!O3</f>
        <v>19246.248701843979</v>
      </c>
      <c r="S9" s="1">
        <f>Harmonogram_kredytu!P3</f>
        <v>19246.248701843979</v>
      </c>
      <c r="T9" s="1">
        <f>Harmonogram_kredytu!Q3</f>
        <v>19246.248701843979</v>
      </c>
      <c r="U9" s="1">
        <f>Harmonogram_kredytu!R3</f>
        <v>19246.248701843979</v>
      </c>
      <c r="V9" s="1">
        <f>Harmonogram_kredytu!S3</f>
        <v>19246.248701843979</v>
      </c>
      <c r="W9" s="1">
        <f>Harmonogram_kredytu!T3</f>
        <v>19246.248701843979</v>
      </c>
      <c r="X9" s="1">
        <f>Harmonogram_kredytu!U3</f>
        <v>19246.248701843979</v>
      </c>
      <c r="Y9" s="1">
        <f>Harmonogram_kredytu!V3</f>
        <v>19246.248701843979</v>
      </c>
      <c r="Z9" s="1">
        <f>Harmonogram_kredytu!W3</f>
        <v>19246.248701843979</v>
      </c>
      <c r="AA9" s="1">
        <f>Harmonogram_kredytu!X3</f>
        <v>19246.248701843979</v>
      </c>
      <c r="AB9" s="1">
        <f>Harmonogram_kredytu!Y3</f>
        <v>19246.248701843979</v>
      </c>
      <c r="AC9" s="1">
        <f>Harmonogram_kredytu!Z3</f>
        <v>19246.248701843979</v>
      </c>
      <c r="AD9" s="1">
        <f>Harmonogram_kredytu!AA3</f>
        <v>19246.248701843979</v>
      </c>
      <c r="AE9" s="1">
        <f>Harmonogram_kredytu!AB3</f>
        <v>19246.248701843979</v>
      </c>
      <c r="AF9" s="1">
        <f>Harmonogram_kredytu!AC3</f>
        <v>19246.248701843979</v>
      </c>
      <c r="AG9" s="1">
        <f>Harmonogram_kredytu!AD3</f>
        <v>19246.248701843979</v>
      </c>
      <c r="AH9" s="1">
        <f>Harmonogram_kredytu!AE3</f>
        <v>19246.248701843979</v>
      </c>
      <c r="AI9" s="13">
        <f>Harmonogram_kredytu!AF3</f>
        <v>19246.248701843979</v>
      </c>
    </row>
    <row r="10" spans="1:35">
      <c r="A10" s="55"/>
      <c r="B10" s="57" t="s">
        <v>2</v>
      </c>
      <c r="C10" s="58">
        <f>Dane!C13</f>
        <v>313500</v>
      </c>
      <c r="E10" t="s">
        <v>22</v>
      </c>
      <c r="F10" s="36">
        <f>Harmonogram_kredytu!C5</f>
        <v>5138.7487018439788</v>
      </c>
      <c r="G10" s="2">
        <f>Harmonogram_kredytu!D5</f>
        <v>5369.9923934269573</v>
      </c>
      <c r="H10" s="2">
        <f>Harmonogram_kredytu!E5</f>
        <v>5611.6420511311699</v>
      </c>
      <c r="I10" s="2">
        <f>Harmonogram_kredytu!F5</f>
        <v>5864.1659434320736</v>
      </c>
      <c r="J10" s="2">
        <f>Harmonogram_kredytu!G5</f>
        <v>6128.0534108865158</v>
      </c>
      <c r="K10" s="2">
        <f>Harmonogram_kredytu!H5</f>
        <v>6403.8158143764085</v>
      </c>
      <c r="L10" s="2">
        <f>Harmonogram_kredytu!I5</f>
        <v>6691.9875260233457</v>
      </c>
      <c r="M10" s="2">
        <f>Harmonogram_kredytu!J5</f>
        <v>6993.1269646943965</v>
      </c>
      <c r="N10" s="2">
        <f>Harmonogram_kredytu!K5</f>
        <v>7307.8176781056463</v>
      </c>
      <c r="O10" s="2">
        <f>Harmonogram_kredytu!L5</f>
        <v>7636.669473620399</v>
      </c>
      <c r="P10" s="2">
        <f>Harmonogram_kredytu!M5</f>
        <v>7980.3195999333166</v>
      </c>
      <c r="Q10" s="2">
        <f>Harmonogram_kredytu!N5</f>
        <v>8339.4339819303168</v>
      </c>
      <c r="R10" s="2">
        <f>Harmonogram_kredytu!O5</f>
        <v>8714.70851111718</v>
      </c>
      <c r="S10" s="2">
        <f>Harmonogram_kredytu!P5</f>
        <v>9106.8703941174535</v>
      </c>
      <c r="T10" s="2">
        <f>Harmonogram_kredytu!Q5</f>
        <v>9516.6795618527394</v>
      </c>
      <c r="U10" s="2">
        <f>Harmonogram_kredytu!R5</f>
        <v>9944.9301421361124</v>
      </c>
      <c r="V10" s="2">
        <f>Harmonogram_kredytu!S5</f>
        <v>10392.451998532237</v>
      </c>
      <c r="W10" s="2">
        <f>Harmonogram_kredytu!T5</f>
        <v>10860.112338466188</v>
      </c>
      <c r="X10" s="2">
        <f>Harmonogram_kredytu!U5</f>
        <v>11348.817393697165</v>
      </c>
      <c r="Y10" s="2">
        <f>Harmonogram_kredytu!V5</f>
        <v>11859.514176413539</v>
      </c>
      <c r="Z10" s="2">
        <f>Harmonogram_kredytu!W5</f>
        <v>12393.192314352147</v>
      </c>
      <c r="AA10" s="2">
        <f>Harmonogram_kredytu!X5</f>
        <v>12950.885968497994</v>
      </c>
      <c r="AB10" s="2">
        <f>Harmonogram_kredytu!Y5</f>
        <v>13533.675837080404</v>
      </c>
      <c r="AC10" s="2">
        <f>Harmonogram_kredytu!Z5</f>
        <v>14142.691249749023</v>
      </c>
      <c r="AD10" s="2">
        <f>Harmonogram_kredytu!AA5</f>
        <v>14779.112355987727</v>
      </c>
      <c r="AE10" s="2">
        <f>Harmonogram_kredytu!AB5</f>
        <v>15444.172412007176</v>
      </c>
      <c r="AF10" s="2">
        <f>Harmonogram_kredytu!AC5</f>
        <v>16139.160170547499</v>
      </c>
      <c r="AG10" s="2">
        <f>Harmonogram_kredytu!AD5</f>
        <v>16865.422378222134</v>
      </c>
      <c r="AH10" s="2">
        <f>Harmonogram_kredytu!AE5</f>
        <v>17624.36638524213</v>
      </c>
      <c r="AI10" s="38">
        <f>Harmonogram_kredytu!AF5</f>
        <v>18417.462872578028</v>
      </c>
    </row>
    <row r="11" spans="1:35">
      <c r="A11" s="55"/>
      <c r="B11" s="57" t="s">
        <v>3</v>
      </c>
      <c r="C11" s="85">
        <f>Dane!C14</f>
        <v>4.4999999999999998E-2</v>
      </c>
      <c r="E11" t="s">
        <v>57</v>
      </c>
      <c r="F11" s="36">
        <f>Harmonogram_kredytu!C4</f>
        <v>14107.5</v>
      </c>
      <c r="G11" s="2">
        <f>Harmonogram_kredytu!D4</f>
        <v>13876.256308417022</v>
      </c>
      <c r="H11" s="2">
        <f>Harmonogram_kredytu!E4</f>
        <v>13634.606650712809</v>
      </c>
      <c r="I11" s="2">
        <f>Harmonogram_kredytu!F4</f>
        <v>13382.082758411905</v>
      </c>
      <c r="J11" s="2">
        <f>Harmonogram_kredytu!G4</f>
        <v>13118.195290957463</v>
      </c>
      <c r="K11" s="2">
        <f>Harmonogram_kredytu!H4</f>
        <v>12842.43288746757</v>
      </c>
      <c r="L11" s="2">
        <f>Harmonogram_kredytu!I4</f>
        <v>12554.261175820633</v>
      </c>
      <c r="M11" s="2">
        <f>Harmonogram_kredytu!J4</f>
        <v>12253.121737149582</v>
      </c>
      <c r="N11" s="2">
        <f>Harmonogram_kredytu!K4</f>
        <v>11938.431023738332</v>
      </c>
      <c r="O11" s="2">
        <f>Harmonogram_kredytu!L4</f>
        <v>11609.57922822358</v>
      </c>
      <c r="P11" s="2">
        <f>Harmonogram_kredytu!M4</f>
        <v>11265.929101910662</v>
      </c>
      <c r="Q11" s="2">
        <f>Harmonogram_kredytu!N4</f>
        <v>10906.814719913662</v>
      </c>
      <c r="R11" s="2">
        <f>Harmonogram_kredytu!O4</f>
        <v>10531.540190726799</v>
      </c>
      <c r="S11" s="2">
        <f>Harmonogram_kredytu!P4</f>
        <v>10139.378307726525</v>
      </c>
      <c r="T11" s="2">
        <f>Harmonogram_kredytu!Q4</f>
        <v>9729.5691399912394</v>
      </c>
      <c r="U11" s="2">
        <f>Harmonogram_kredytu!R4</f>
        <v>9301.3185597078664</v>
      </c>
      <c r="V11" s="2">
        <f>Harmonogram_kredytu!S4</f>
        <v>8853.796703311742</v>
      </c>
      <c r="W11" s="2">
        <f>Harmonogram_kredytu!T4</f>
        <v>8386.136363377791</v>
      </c>
      <c r="X11" s="2">
        <f>Harmonogram_kredytu!U4</f>
        <v>7897.4313081468126</v>
      </c>
      <c r="Y11" s="2">
        <f>Harmonogram_kredytu!V4</f>
        <v>7386.73452543044</v>
      </c>
      <c r="Z11" s="2">
        <f>Harmonogram_kredytu!W4</f>
        <v>6853.0563874918316</v>
      </c>
      <c r="AA11" s="2">
        <f>Harmonogram_kredytu!X4</f>
        <v>6295.3627333459854</v>
      </c>
      <c r="AB11" s="2">
        <f>Harmonogram_kredytu!Y4</f>
        <v>5712.5728647635751</v>
      </c>
      <c r="AC11" s="2">
        <f>Harmonogram_kredytu!Z4</f>
        <v>5103.5574520949567</v>
      </c>
      <c r="AD11" s="2">
        <f>Harmonogram_kredytu!AA4</f>
        <v>4467.136345856251</v>
      </c>
      <c r="AE11" s="2">
        <f>Harmonogram_kredytu!AB4</f>
        <v>3802.076289836803</v>
      </c>
      <c r="AF11" s="2">
        <f>Harmonogram_kredytu!AC4</f>
        <v>3107.0885312964801</v>
      </c>
      <c r="AG11" s="2">
        <f>Harmonogram_kredytu!AD4</f>
        <v>2380.8263236218431</v>
      </c>
      <c r="AH11" s="2">
        <f>Harmonogram_kredytu!AE4</f>
        <v>1621.8823166018472</v>
      </c>
      <c r="AI11" s="38">
        <f>Harmonogram_kredytu!AF4</f>
        <v>828.78582926595129</v>
      </c>
    </row>
    <row r="12" spans="1:35">
      <c r="A12" s="55"/>
      <c r="B12" s="57" t="s">
        <v>36</v>
      </c>
      <c r="C12" s="58">
        <f>Dane!C15</f>
        <v>30</v>
      </c>
      <c r="E12" t="s">
        <v>16</v>
      </c>
      <c r="F12" s="10">
        <f>C22</f>
        <v>11624</v>
      </c>
      <c r="G12" s="1">
        <f t="shared" ref="G12:N12" si="0">F12*(1+$C$35)</f>
        <v>11972.720000000001</v>
      </c>
      <c r="H12" s="1">
        <f t="shared" si="0"/>
        <v>12331.901600000001</v>
      </c>
      <c r="I12" s="1">
        <f t="shared" si="0"/>
        <v>12701.858648000001</v>
      </c>
      <c r="J12" s="1">
        <f t="shared" si="0"/>
        <v>13082.914407440001</v>
      </c>
      <c r="K12" s="1">
        <f t="shared" si="0"/>
        <v>13475.401839663202</v>
      </c>
      <c r="L12" s="1">
        <f t="shared" si="0"/>
        <v>13879.663894853098</v>
      </c>
      <c r="M12" s="1">
        <f t="shared" si="0"/>
        <v>14296.053811698692</v>
      </c>
      <c r="N12" s="1">
        <f t="shared" si="0"/>
        <v>14724.935426049653</v>
      </c>
      <c r="O12" s="1">
        <f t="shared" ref="O12:X12" si="1">N12*(1+$C$35)</f>
        <v>15166.683488831142</v>
      </c>
      <c r="P12" s="1">
        <f t="shared" si="1"/>
        <v>15621.683993496077</v>
      </c>
      <c r="Q12" s="1">
        <f t="shared" si="1"/>
        <v>16090.334513300961</v>
      </c>
      <c r="R12" s="1">
        <f t="shared" si="1"/>
        <v>16573.044548699989</v>
      </c>
      <c r="S12" s="1">
        <f t="shared" si="1"/>
        <v>17070.23588516099</v>
      </c>
      <c r="T12" s="1">
        <f t="shared" si="1"/>
        <v>17582.342961715818</v>
      </c>
      <c r="U12" s="1">
        <f t="shared" si="1"/>
        <v>18109.813250567295</v>
      </c>
      <c r="V12" s="1">
        <f t="shared" si="1"/>
        <v>18653.107648084315</v>
      </c>
      <c r="W12" s="1">
        <f t="shared" si="1"/>
        <v>19212.700877526844</v>
      </c>
      <c r="X12" s="1">
        <f t="shared" si="1"/>
        <v>19789.08190385265</v>
      </c>
      <c r="Y12" s="1">
        <f t="shared" ref="Y12" si="2">X12*(1+$C$35)</f>
        <v>20382.754360968229</v>
      </c>
      <c r="Z12" s="1">
        <f t="shared" ref="Z12" si="3">Y12*(1+$C$35)</f>
        <v>20994.236991797276</v>
      </c>
      <c r="AA12" s="1">
        <f t="shared" ref="AA12:AH12" si="4">Z12*(1+$C$35)</f>
        <v>21624.064101551194</v>
      </c>
      <c r="AB12" s="1">
        <f t="shared" si="4"/>
        <v>22272.786024597732</v>
      </c>
      <c r="AC12" s="1">
        <f t="shared" si="4"/>
        <v>22940.969605335664</v>
      </c>
      <c r="AD12" s="1">
        <f t="shared" si="4"/>
        <v>23629.198693495735</v>
      </c>
      <c r="AE12" s="1">
        <f t="shared" si="4"/>
        <v>24338.074654300606</v>
      </c>
      <c r="AF12" s="1">
        <f t="shared" si="4"/>
        <v>25068.216893929624</v>
      </c>
      <c r="AG12" s="1">
        <f t="shared" si="4"/>
        <v>25820.263400747514</v>
      </c>
      <c r="AH12" s="1">
        <f t="shared" si="4"/>
        <v>26594.871302769941</v>
      </c>
      <c r="AI12" s="13">
        <f>AH12*(1+$C$35)</f>
        <v>27392.717441853041</v>
      </c>
    </row>
    <row r="13" spans="1:35">
      <c r="A13" s="55"/>
      <c r="B13" s="57" t="s">
        <v>5</v>
      </c>
      <c r="C13" s="58">
        <f>Dane!C16</f>
        <v>4702.5</v>
      </c>
      <c r="E13" t="s">
        <v>19</v>
      </c>
      <c r="F13" s="14"/>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3">
        <f>C23</f>
        <v>800996.61549258756</v>
      </c>
    </row>
    <row r="14" spans="1:35" ht="15.75" thickBot="1">
      <c r="A14" s="55"/>
      <c r="B14" s="61" t="s">
        <v>9</v>
      </c>
      <c r="C14" s="60">
        <f>C5-C10+C8</f>
        <v>44000</v>
      </c>
      <c r="E14" t="s">
        <v>23</v>
      </c>
      <c r="F14" s="14"/>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26">
        <f>Harmonogram_kredytu!AF6</f>
        <v>-1.3315002433955669E-9</v>
      </c>
    </row>
    <row r="15" spans="1:35" ht="16.5" thickBot="1">
      <c r="A15" s="55"/>
      <c r="B15" s="62" t="s">
        <v>6</v>
      </c>
      <c r="C15" s="58">
        <f>Dane!C18</f>
        <v>264</v>
      </c>
      <c r="E15" s="27" t="s">
        <v>70</v>
      </c>
      <c r="F15" s="28">
        <f t="shared" ref="F15:AI15" si="5">-(F7+F8+F9+F12)+F13-F14</f>
        <v>-95472.748701843986</v>
      </c>
      <c r="G15" s="28">
        <f t="shared" si="5"/>
        <v>-31218.96870184398</v>
      </c>
      <c r="H15" s="28">
        <f t="shared" si="5"/>
        <v>-31578.15030184398</v>
      </c>
      <c r="I15" s="28">
        <f t="shared" si="5"/>
        <v>-31948.10734984398</v>
      </c>
      <c r="J15" s="28">
        <f t="shared" si="5"/>
        <v>-32329.163109283982</v>
      </c>
      <c r="K15" s="28">
        <f t="shared" si="5"/>
        <v>-32721.650541507181</v>
      </c>
      <c r="L15" s="28">
        <f t="shared" si="5"/>
        <v>-33125.912596697075</v>
      </c>
      <c r="M15" s="28">
        <f t="shared" si="5"/>
        <v>-33542.302513542672</v>
      </c>
      <c r="N15" s="28">
        <f t="shared" si="5"/>
        <v>-33971.184127893634</v>
      </c>
      <c r="O15" s="28">
        <f t="shared" si="5"/>
        <v>-34412.932190675121</v>
      </c>
      <c r="P15" s="28">
        <f t="shared" si="5"/>
        <v>-34867.93269534006</v>
      </c>
      <c r="Q15" s="28">
        <f t="shared" si="5"/>
        <v>-35336.583215144943</v>
      </c>
      <c r="R15" s="28">
        <f t="shared" si="5"/>
        <v>-35819.293250543968</v>
      </c>
      <c r="S15" s="28">
        <f t="shared" si="5"/>
        <v>-36316.484587004968</v>
      </c>
      <c r="T15" s="28">
        <f t="shared" si="5"/>
        <v>-36828.591663559797</v>
      </c>
      <c r="U15" s="28">
        <f t="shared" si="5"/>
        <v>-37356.06195241127</v>
      </c>
      <c r="V15" s="28">
        <f t="shared" si="5"/>
        <v>-37899.35634992829</v>
      </c>
      <c r="W15" s="28">
        <f t="shared" si="5"/>
        <v>-38458.949579370819</v>
      </c>
      <c r="X15" s="28">
        <f t="shared" si="5"/>
        <v>-39035.330605696625</v>
      </c>
      <c r="Y15" s="28">
        <f t="shared" si="5"/>
        <v>-39629.003062812204</v>
      </c>
      <c r="Z15" s="28">
        <f t="shared" si="5"/>
        <v>-40240.485693641254</v>
      </c>
      <c r="AA15" s="28">
        <f t="shared" si="5"/>
        <v>-40870.312803395173</v>
      </c>
      <c r="AB15" s="28">
        <f t="shared" si="5"/>
        <v>-41519.034726441707</v>
      </c>
      <c r="AC15" s="28">
        <f t="shared" si="5"/>
        <v>-42187.218307179646</v>
      </c>
      <c r="AD15" s="28">
        <f t="shared" si="5"/>
        <v>-42875.44739533971</v>
      </c>
      <c r="AE15" s="28">
        <f t="shared" si="5"/>
        <v>-43584.323356144581</v>
      </c>
      <c r="AF15" s="28">
        <f t="shared" si="5"/>
        <v>-44314.465595773603</v>
      </c>
      <c r="AG15" s="28">
        <f t="shared" si="5"/>
        <v>-45066.512102591492</v>
      </c>
      <c r="AH15" s="28">
        <f t="shared" si="5"/>
        <v>-45841.12000461392</v>
      </c>
      <c r="AI15" s="39">
        <f t="shared" si="5"/>
        <v>754357.64934889181</v>
      </c>
    </row>
    <row r="16" spans="1:35">
      <c r="A16" s="55"/>
      <c r="B16" s="62" t="s">
        <v>14</v>
      </c>
      <c r="C16" s="58">
        <f>Dane!C19</f>
        <v>100</v>
      </c>
    </row>
    <row r="17" spans="1:35">
      <c r="A17" s="55"/>
      <c r="B17" s="62" t="s">
        <v>13</v>
      </c>
      <c r="C17" s="58">
        <f>Dane!C20</f>
        <v>300</v>
      </c>
      <c r="E17" s="3"/>
      <c r="F17" s="5"/>
      <c r="G17" s="5"/>
      <c r="H17" s="5"/>
      <c r="I17" s="5"/>
      <c r="J17" s="5"/>
      <c r="K17" s="5"/>
      <c r="L17" s="5"/>
      <c r="M17" s="5"/>
      <c r="N17" s="5"/>
      <c r="O17" s="5"/>
    </row>
    <row r="18" spans="1:35" ht="16.5" thickBot="1">
      <c r="A18" s="55"/>
      <c r="B18" s="62" t="s">
        <v>11</v>
      </c>
      <c r="C18" s="58">
        <f>Dane!C21</f>
        <v>4000</v>
      </c>
      <c r="E18" s="33" t="s">
        <v>25</v>
      </c>
    </row>
    <row r="19" spans="1:35">
      <c r="A19" s="55"/>
      <c r="B19" s="63" t="s">
        <v>44</v>
      </c>
      <c r="C19" s="58">
        <f>Dane!C22</f>
        <v>500</v>
      </c>
      <c r="E19" s="16" t="s">
        <v>17</v>
      </c>
      <c r="F19" s="7">
        <v>1</v>
      </c>
      <c r="G19" s="8">
        <v>2</v>
      </c>
      <c r="H19" s="8">
        <v>3</v>
      </c>
      <c r="I19" s="8">
        <v>4</v>
      </c>
      <c r="J19" s="8">
        <v>5</v>
      </c>
      <c r="K19" s="8">
        <v>6</v>
      </c>
      <c r="L19" s="8">
        <v>7</v>
      </c>
      <c r="M19" s="8">
        <v>8</v>
      </c>
      <c r="N19" s="8">
        <v>9</v>
      </c>
      <c r="O19" s="8">
        <v>10</v>
      </c>
      <c r="P19" s="8">
        <v>11</v>
      </c>
      <c r="Q19" s="8">
        <v>12</v>
      </c>
      <c r="R19" s="8">
        <v>13</v>
      </c>
      <c r="S19" s="8">
        <v>14</v>
      </c>
      <c r="T19" s="8">
        <v>15</v>
      </c>
      <c r="U19" s="8">
        <v>16</v>
      </c>
      <c r="V19" s="8">
        <v>17</v>
      </c>
      <c r="W19" s="8">
        <v>18</v>
      </c>
      <c r="X19" s="8">
        <v>19</v>
      </c>
      <c r="Y19" s="8">
        <v>20</v>
      </c>
      <c r="Z19" s="8">
        <v>21</v>
      </c>
      <c r="AA19" s="8">
        <v>22</v>
      </c>
      <c r="AB19" s="8">
        <v>23</v>
      </c>
      <c r="AC19" s="8">
        <v>24</v>
      </c>
      <c r="AD19" s="8">
        <v>25</v>
      </c>
      <c r="AE19" s="8">
        <v>26</v>
      </c>
      <c r="AF19" s="8">
        <v>27</v>
      </c>
      <c r="AG19" s="8">
        <v>28</v>
      </c>
      <c r="AH19" s="8">
        <v>29</v>
      </c>
      <c r="AI19" s="9">
        <v>30</v>
      </c>
    </row>
    <row r="20" spans="1:35">
      <c r="A20" s="55"/>
      <c r="B20" s="62" t="s">
        <v>43</v>
      </c>
      <c r="C20" s="58">
        <f>Dane!C23</f>
        <v>80</v>
      </c>
      <c r="E20" s="17" t="s">
        <v>33</v>
      </c>
      <c r="F20" s="10">
        <f>C27*A27</f>
        <v>21600</v>
      </c>
      <c r="G20" s="1">
        <f>F20*(1+$C$35)</f>
        <v>22248</v>
      </c>
      <c r="H20" s="1">
        <f t="shared" ref="H20:Y20" si="6">G20*(1+$C$35)</f>
        <v>22915.440000000002</v>
      </c>
      <c r="I20" s="1">
        <f t="shared" si="6"/>
        <v>23602.903200000004</v>
      </c>
      <c r="J20" s="1">
        <f t="shared" si="6"/>
        <v>24310.990296000004</v>
      </c>
      <c r="K20" s="1">
        <f t="shared" si="6"/>
        <v>25040.320004880003</v>
      </c>
      <c r="L20" s="1">
        <f t="shared" si="6"/>
        <v>25791.529605026404</v>
      </c>
      <c r="M20" s="1">
        <f t="shared" si="6"/>
        <v>26565.275493177196</v>
      </c>
      <c r="N20" s="1">
        <f t="shared" si="6"/>
        <v>27362.233757972514</v>
      </c>
      <c r="O20" s="1">
        <f t="shared" si="6"/>
        <v>28183.100770711691</v>
      </c>
      <c r="P20" s="23">
        <f t="shared" si="6"/>
        <v>29028.593793833043</v>
      </c>
      <c r="Q20" s="1">
        <f t="shared" si="6"/>
        <v>29899.451607648036</v>
      </c>
      <c r="R20" s="1">
        <f t="shared" si="6"/>
        <v>30796.435155877476</v>
      </c>
      <c r="S20" s="23">
        <f t="shared" si="6"/>
        <v>31720.328210553802</v>
      </c>
      <c r="T20" s="1">
        <f t="shared" si="6"/>
        <v>32671.938056870418</v>
      </c>
      <c r="U20" s="1">
        <f t="shared" si="6"/>
        <v>33652.096198576532</v>
      </c>
      <c r="V20" s="23">
        <f t="shared" si="6"/>
        <v>34661.659084533829</v>
      </c>
      <c r="W20" s="1">
        <f t="shared" si="6"/>
        <v>35701.508857069843</v>
      </c>
      <c r="X20" s="21">
        <f t="shared" si="6"/>
        <v>36772.554122781941</v>
      </c>
      <c r="Y20" s="23">
        <f t="shared" si="6"/>
        <v>37875.7307464654</v>
      </c>
      <c r="Z20" s="23">
        <f t="shared" ref="Z20:AI20" si="7">Y20*(1+$C$35)</f>
        <v>39012.002668859364</v>
      </c>
      <c r="AA20" s="23">
        <f t="shared" si="7"/>
        <v>40182.362748925145</v>
      </c>
      <c r="AB20" s="23">
        <f t="shared" si="7"/>
        <v>41387.833631392903</v>
      </c>
      <c r="AC20" s="23">
        <f t="shared" si="7"/>
        <v>42629.468640334693</v>
      </c>
      <c r="AD20" s="23">
        <f t="shared" si="7"/>
        <v>43908.352699544732</v>
      </c>
      <c r="AE20" s="23">
        <f t="shared" si="7"/>
        <v>45225.603280531075</v>
      </c>
      <c r="AF20" s="23">
        <f t="shared" si="7"/>
        <v>46582.371378947006</v>
      </c>
      <c r="AG20" s="23">
        <f t="shared" si="7"/>
        <v>47979.842520315418</v>
      </c>
      <c r="AH20" s="23">
        <f t="shared" si="7"/>
        <v>49419.237795924884</v>
      </c>
      <c r="AI20" s="47">
        <f t="shared" si="7"/>
        <v>50901.814929802633</v>
      </c>
    </row>
    <row r="21" spans="1:35">
      <c r="A21" s="55"/>
      <c r="B21" s="62" t="s">
        <v>45</v>
      </c>
      <c r="C21" s="58">
        <f>Dane!C24</f>
        <v>0</v>
      </c>
      <c r="E21" s="17" t="s">
        <v>29</v>
      </c>
      <c r="F21" s="10">
        <f>C28</f>
        <v>900</v>
      </c>
      <c r="G21" s="20"/>
      <c r="H21" s="20"/>
      <c r="I21" s="18">
        <f>$F$21*POWER((1+$C$35),H19)</f>
        <v>983.45429999999999</v>
      </c>
      <c r="J21" s="20"/>
      <c r="K21" s="20"/>
      <c r="L21" s="18">
        <f>$F$21*POWER((1+$C$35),K19)</f>
        <v>1074.6470668760999</v>
      </c>
      <c r="M21" s="20"/>
      <c r="N21" s="20"/>
      <c r="O21" s="18">
        <f>$F$21*POWER((1+$C$35),N19)</f>
        <v>1174.29586544632</v>
      </c>
      <c r="P21" s="20"/>
      <c r="Q21" s="20"/>
      <c r="R21" s="18">
        <f>$F$21*POWER((1+$C$35),Q19)</f>
        <v>1283.1847981615608</v>
      </c>
      <c r="S21" s="20"/>
      <c r="T21" s="20"/>
      <c r="U21" s="18">
        <f>$F$21*POWER((1+$C$35),T19)</f>
        <v>1402.1706749406881</v>
      </c>
      <c r="V21" s="20"/>
      <c r="W21" s="20"/>
      <c r="X21" s="18">
        <f>$F$21*POWER((1+$C$35),W19)</f>
        <v>1532.1897551159129</v>
      </c>
      <c r="Y21" s="53"/>
      <c r="Z21" s="53"/>
      <c r="AA21" s="18">
        <f>$F$21*POWER((1+$C$35),Z19)</f>
        <v>1674.265114538546</v>
      </c>
      <c r="AB21" s="53"/>
      <c r="AC21" s="53"/>
      <c r="AD21" s="18">
        <f>$F$21*POWER((1+$C$35),AC19)</f>
        <v>1829.5146958143616</v>
      </c>
      <c r="AE21" s="53"/>
      <c r="AF21" s="53"/>
      <c r="AG21" s="18">
        <f>$F$21*POWER((1+$C$35),AF19)</f>
        <v>1999.1601050131399</v>
      </c>
      <c r="AH21" s="53"/>
      <c r="AI21" s="54"/>
    </row>
    <row r="22" spans="1:35">
      <c r="A22" s="55"/>
      <c r="B22" s="64" t="s">
        <v>42</v>
      </c>
      <c r="C22" s="65">
        <f>SUM(C15:C18)+SUM(C19:C20)*A27+C21</f>
        <v>11624</v>
      </c>
      <c r="E22" s="17" t="s">
        <v>30</v>
      </c>
      <c r="F22" s="10">
        <f>C29*A27</f>
        <v>3600</v>
      </c>
      <c r="G22" s="18">
        <f>F22*(1+$C$35)</f>
        <v>3708</v>
      </c>
      <c r="H22" s="18">
        <f t="shared" ref="H22:Y22" si="8">G22*(1+$C$35)</f>
        <v>3819.2400000000002</v>
      </c>
      <c r="I22" s="18">
        <f t="shared" si="8"/>
        <v>3933.8172000000004</v>
      </c>
      <c r="J22" s="18">
        <f t="shared" si="8"/>
        <v>4051.8317160000006</v>
      </c>
      <c r="K22" s="18">
        <f t="shared" si="8"/>
        <v>4173.3866674800011</v>
      </c>
      <c r="L22" s="18">
        <f t="shared" si="8"/>
        <v>4298.5882675044013</v>
      </c>
      <c r="M22" s="18">
        <f t="shared" si="8"/>
        <v>4427.5459155295339</v>
      </c>
      <c r="N22" s="18">
        <f t="shared" si="8"/>
        <v>4560.3722929954201</v>
      </c>
      <c r="O22" s="18">
        <f t="shared" si="8"/>
        <v>4697.1834617852828</v>
      </c>
      <c r="P22" s="24">
        <f t="shared" si="8"/>
        <v>4838.098965638841</v>
      </c>
      <c r="Q22" s="18">
        <f t="shared" si="8"/>
        <v>4983.241934608006</v>
      </c>
      <c r="R22" s="18">
        <f t="shared" si="8"/>
        <v>5132.739192646246</v>
      </c>
      <c r="S22" s="24">
        <f t="shared" si="8"/>
        <v>5286.721368425634</v>
      </c>
      <c r="T22" s="18">
        <f t="shared" si="8"/>
        <v>5445.323009478403</v>
      </c>
      <c r="U22" s="18">
        <f t="shared" si="8"/>
        <v>5608.682699762755</v>
      </c>
      <c r="V22" s="24">
        <f t="shared" si="8"/>
        <v>5776.9431807556375</v>
      </c>
      <c r="W22" s="18">
        <f t="shared" si="8"/>
        <v>5950.2514761783068</v>
      </c>
      <c r="X22" s="22">
        <f t="shared" si="8"/>
        <v>6128.7590204636563</v>
      </c>
      <c r="Y22" s="24">
        <f t="shared" si="8"/>
        <v>6312.6217910775658</v>
      </c>
      <c r="Z22" s="24">
        <f t="shared" ref="Z22:AI22" si="9">Y22*(1+$C$35)</f>
        <v>6502.0004448098925</v>
      </c>
      <c r="AA22" s="24">
        <f t="shared" si="9"/>
        <v>6697.0604581541893</v>
      </c>
      <c r="AB22" s="24">
        <f t="shared" si="9"/>
        <v>6897.9722718988151</v>
      </c>
      <c r="AC22" s="24">
        <f t="shared" si="9"/>
        <v>7104.9114400557801</v>
      </c>
      <c r="AD22" s="24">
        <f t="shared" si="9"/>
        <v>7318.0587832574538</v>
      </c>
      <c r="AE22" s="24">
        <f t="shared" si="9"/>
        <v>7537.6005467551777</v>
      </c>
      <c r="AF22" s="24">
        <f t="shared" si="9"/>
        <v>7763.7285631578334</v>
      </c>
      <c r="AG22" s="24">
        <f t="shared" si="9"/>
        <v>7996.6404200525685</v>
      </c>
      <c r="AH22" s="24">
        <f t="shared" si="9"/>
        <v>8236.539632654145</v>
      </c>
      <c r="AI22" s="48">
        <f t="shared" si="9"/>
        <v>8483.6358216337703</v>
      </c>
    </row>
    <row r="23" spans="1:35">
      <c r="A23" s="66">
        <v>30</v>
      </c>
      <c r="B23" s="67" t="s">
        <v>12</v>
      </c>
      <c r="C23" s="60">
        <f>C5*POWER((1+C36),A23)</f>
        <v>800996.61549258756</v>
      </c>
      <c r="E23" s="15" t="s">
        <v>31</v>
      </c>
      <c r="F23" s="10">
        <f>C30</f>
        <v>500</v>
      </c>
      <c r="G23" s="20"/>
      <c r="H23" s="20"/>
      <c r="I23" s="18">
        <f>$F$23*POWER((1+$C$35),H19)</f>
        <v>546.36350000000004</v>
      </c>
      <c r="J23" s="20"/>
      <c r="K23" s="20"/>
      <c r="L23" s="18">
        <f>$F$23*POWER((1+$C$35),K19)</f>
        <v>597.02614826449997</v>
      </c>
      <c r="M23" s="20"/>
      <c r="N23" s="20"/>
      <c r="O23" s="18">
        <f>$F$23*POWER((1+$C$35),N19)</f>
        <v>652.38659191462227</v>
      </c>
      <c r="P23" s="20"/>
      <c r="Q23" s="20"/>
      <c r="R23" s="18">
        <f>$F$23*POWER((1+$C$35),Q19)</f>
        <v>712.88044342308933</v>
      </c>
      <c r="S23" s="20"/>
      <c r="T23" s="20"/>
      <c r="U23" s="18">
        <f>$F$23*POWER((1+$C$35),T19)</f>
        <v>778.9837083003822</v>
      </c>
      <c r="V23" s="20"/>
      <c r="W23" s="20"/>
      <c r="X23" s="18">
        <f>$F$23*POWER((1+$C$35),W19)</f>
        <v>851.21653061995164</v>
      </c>
      <c r="Y23" s="53"/>
      <c r="Z23" s="53"/>
      <c r="AA23" s="18">
        <f>$F$23*POWER((1+$C$35),Z19)</f>
        <v>930.14728585474768</v>
      </c>
      <c r="AB23" s="53"/>
      <c r="AC23" s="53"/>
      <c r="AD23" s="18">
        <f>$F$23*POWER((1+$C$35),AC19)</f>
        <v>1016.3970532302009</v>
      </c>
      <c r="AE23" s="53"/>
      <c r="AF23" s="53"/>
      <c r="AG23" s="18">
        <f>$F$23*POWER((1+$C$35),AF19)</f>
        <v>1110.6445027850777</v>
      </c>
      <c r="AH23" s="53"/>
      <c r="AI23" s="54"/>
    </row>
    <row r="24" spans="1:35" ht="15.75" thickBot="1">
      <c r="A24" s="55"/>
      <c r="B24" s="55"/>
      <c r="C24" s="55"/>
      <c r="E24" s="15" t="s">
        <v>32</v>
      </c>
      <c r="F24" s="10">
        <f>C31</f>
        <v>0</v>
      </c>
      <c r="G24" s="1">
        <f>F24*(1+$C$35)</f>
        <v>0</v>
      </c>
      <c r="H24" s="1">
        <f t="shared" ref="H24:Y24" si="10">G24*(1+$C$35)</f>
        <v>0</v>
      </c>
      <c r="I24" s="1">
        <f t="shared" si="10"/>
        <v>0</v>
      </c>
      <c r="J24" s="1">
        <f t="shared" si="10"/>
        <v>0</v>
      </c>
      <c r="K24" s="1">
        <f t="shared" si="10"/>
        <v>0</v>
      </c>
      <c r="L24" s="1">
        <f t="shared" si="10"/>
        <v>0</v>
      </c>
      <c r="M24" s="1">
        <f t="shared" si="10"/>
        <v>0</v>
      </c>
      <c r="N24" s="1">
        <f t="shared" si="10"/>
        <v>0</v>
      </c>
      <c r="O24" s="46">
        <f t="shared" si="10"/>
        <v>0</v>
      </c>
      <c r="P24" s="23">
        <f t="shared" si="10"/>
        <v>0</v>
      </c>
      <c r="Q24" s="1">
        <f t="shared" si="10"/>
        <v>0</v>
      </c>
      <c r="R24" s="46">
        <f t="shared" si="10"/>
        <v>0</v>
      </c>
      <c r="S24" s="23">
        <f t="shared" si="10"/>
        <v>0</v>
      </c>
      <c r="T24" s="1">
        <f t="shared" si="10"/>
        <v>0</v>
      </c>
      <c r="U24" s="46">
        <f t="shared" si="10"/>
        <v>0</v>
      </c>
      <c r="V24" s="23">
        <f t="shared" si="10"/>
        <v>0</v>
      </c>
      <c r="W24" s="1">
        <f t="shared" si="10"/>
        <v>0</v>
      </c>
      <c r="X24" s="51">
        <f t="shared" si="10"/>
        <v>0</v>
      </c>
      <c r="Y24" s="23">
        <f t="shared" si="10"/>
        <v>0</v>
      </c>
      <c r="Z24" s="23">
        <f t="shared" ref="Z24:AI24" si="11">Y24*(1+$C$35)</f>
        <v>0</v>
      </c>
      <c r="AA24" s="23">
        <f t="shared" si="11"/>
        <v>0</v>
      </c>
      <c r="AB24" s="23">
        <f t="shared" si="11"/>
        <v>0</v>
      </c>
      <c r="AC24" s="23">
        <f t="shared" si="11"/>
        <v>0</v>
      </c>
      <c r="AD24" s="23">
        <f t="shared" si="11"/>
        <v>0</v>
      </c>
      <c r="AE24" s="23">
        <f t="shared" si="11"/>
        <v>0</v>
      </c>
      <c r="AF24" s="23">
        <f t="shared" si="11"/>
        <v>0</v>
      </c>
      <c r="AG24" s="23">
        <f t="shared" si="11"/>
        <v>0</v>
      </c>
      <c r="AH24" s="23">
        <f t="shared" si="11"/>
        <v>0</v>
      </c>
      <c r="AI24" s="47">
        <f t="shared" si="11"/>
        <v>0</v>
      </c>
    </row>
    <row r="25" spans="1:35" ht="16.5" thickBot="1">
      <c r="A25" s="55"/>
      <c r="B25" s="56" t="s">
        <v>27</v>
      </c>
      <c r="C25" s="55"/>
      <c r="E25" s="27" t="s">
        <v>71</v>
      </c>
      <c r="F25" s="28">
        <f>-SUM(F20:F24)</f>
        <v>-26600</v>
      </c>
      <c r="G25" s="29">
        <f t="shared" ref="G25:X25" si="12">-SUM(G20:G24)</f>
        <v>-25956</v>
      </c>
      <c r="H25" s="29">
        <f t="shared" si="12"/>
        <v>-26734.680000000004</v>
      </c>
      <c r="I25" s="29">
        <f t="shared" si="12"/>
        <v>-29066.538200000006</v>
      </c>
      <c r="J25" s="29">
        <f t="shared" si="12"/>
        <v>-28362.822012000004</v>
      </c>
      <c r="K25" s="29">
        <f t="shared" si="12"/>
        <v>-29213.706672360004</v>
      </c>
      <c r="L25" s="29">
        <f t="shared" si="12"/>
        <v>-31761.791087671405</v>
      </c>
      <c r="M25" s="29">
        <f t="shared" si="12"/>
        <v>-30992.821408706732</v>
      </c>
      <c r="N25" s="29">
        <f t="shared" si="12"/>
        <v>-31922.606050967934</v>
      </c>
      <c r="O25" s="29">
        <f t="shared" si="12"/>
        <v>-34706.966689857909</v>
      </c>
      <c r="P25" s="45">
        <f t="shared" si="12"/>
        <v>-33866.692759471887</v>
      </c>
      <c r="Q25" s="29">
        <f t="shared" si="12"/>
        <v>-34882.693542256042</v>
      </c>
      <c r="R25" s="29">
        <f t="shared" si="12"/>
        <v>-37925.239590108373</v>
      </c>
      <c r="S25" s="45">
        <f t="shared" si="12"/>
        <v>-37007.049578979437</v>
      </c>
      <c r="T25" s="29">
        <f t="shared" si="12"/>
        <v>-38117.261066348823</v>
      </c>
      <c r="U25" s="29">
        <f t="shared" si="12"/>
        <v>-41441.933281580357</v>
      </c>
      <c r="V25" s="45">
        <f t="shared" si="12"/>
        <v>-40438.602265289468</v>
      </c>
      <c r="W25" s="29">
        <f t="shared" si="12"/>
        <v>-41651.760333248152</v>
      </c>
      <c r="X25" s="52">
        <f t="shared" si="12"/>
        <v>-45284.719428981465</v>
      </c>
      <c r="Y25" s="45">
        <f>-SUM(Y20:Y24)</f>
        <v>-44188.352537542967</v>
      </c>
      <c r="Z25" s="45">
        <f t="shared" ref="Z25:AI25" si="13">-SUM(Z20:Z24)</f>
        <v>-45514.003113669256</v>
      </c>
      <c r="AA25" s="45">
        <f t="shared" si="13"/>
        <v>-49483.835607472633</v>
      </c>
      <c r="AB25" s="45">
        <f t="shared" si="13"/>
        <v>-48285.805903291715</v>
      </c>
      <c r="AC25" s="45">
        <f t="shared" si="13"/>
        <v>-49734.380080390474</v>
      </c>
      <c r="AD25" s="45">
        <f t="shared" si="13"/>
        <v>-54072.323231846742</v>
      </c>
      <c r="AE25" s="45">
        <f t="shared" si="13"/>
        <v>-52763.203827286256</v>
      </c>
      <c r="AF25" s="45">
        <f t="shared" si="13"/>
        <v>-54346.09994210484</v>
      </c>
      <c r="AG25" s="45">
        <f t="shared" si="13"/>
        <v>-59086.287548166212</v>
      </c>
      <c r="AH25" s="45">
        <f t="shared" si="13"/>
        <v>-57655.777428579029</v>
      </c>
      <c r="AI25" s="49">
        <f t="shared" si="13"/>
        <v>-59385.450751436401</v>
      </c>
    </row>
    <row r="26" spans="1:35">
      <c r="A26" s="55"/>
      <c r="B26" s="55"/>
      <c r="C26" s="55"/>
    </row>
    <row r="27" spans="1:35">
      <c r="A27" s="66">
        <f>Dane!A28</f>
        <v>12</v>
      </c>
      <c r="B27" s="62" t="s">
        <v>28</v>
      </c>
      <c r="C27" s="58">
        <f>Dane!C28</f>
        <v>1800</v>
      </c>
    </row>
    <row r="28" spans="1:35" ht="15.75">
      <c r="A28" s="55"/>
      <c r="B28" s="62" t="s">
        <v>29</v>
      </c>
      <c r="C28" s="58">
        <f>Dane!C29</f>
        <v>900</v>
      </c>
      <c r="E28" s="31" t="s">
        <v>35</v>
      </c>
      <c r="F28" s="32">
        <f t="shared" ref="F28:O28" si="14">F15-F25</f>
        <v>-68872.748701843986</v>
      </c>
      <c r="G28" s="32">
        <f t="shared" si="14"/>
        <v>-5262.9687018439799</v>
      </c>
      <c r="H28" s="32">
        <f t="shared" si="14"/>
        <v>-4843.4703018439759</v>
      </c>
      <c r="I28" s="32">
        <f t="shared" si="14"/>
        <v>-2881.5691498439737</v>
      </c>
      <c r="J28" s="32">
        <f t="shared" si="14"/>
        <v>-3966.3410972839774</v>
      </c>
      <c r="K28" s="32">
        <f t="shared" si="14"/>
        <v>-3507.9438691471769</v>
      </c>
      <c r="L28" s="32">
        <f t="shared" si="14"/>
        <v>-1364.1215090256701</v>
      </c>
      <c r="M28" s="32">
        <f t="shared" si="14"/>
        <v>-2549.4811048359406</v>
      </c>
      <c r="N28" s="32">
        <f t="shared" si="14"/>
        <v>-2048.5780769256999</v>
      </c>
      <c r="O28" s="32">
        <f t="shared" si="14"/>
        <v>294.03449918278784</v>
      </c>
      <c r="P28" s="32">
        <f t="shared" ref="P28:X28" si="15">P15-P25</f>
        <v>-1001.2399358681723</v>
      </c>
      <c r="Q28" s="32">
        <f t="shared" si="15"/>
        <v>-453.88967288890126</v>
      </c>
      <c r="R28" s="32">
        <f t="shared" si="15"/>
        <v>2105.9463395644052</v>
      </c>
      <c r="S28" s="32">
        <f t="shared" si="15"/>
        <v>690.56499197446828</v>
      </c>
      <c r="T28" s="32">
        <f t="shared" si="15"/>
        <v>1288.6694027890262</v>
      </c>
      <c r="U28" s="32">
        <f t="shared" si="15"/>
        <v>4085.8713291690874</v>
      </c>
      <c r="V28" s="32">
        <f t="shared" si="15"/>
        <v>2539.245915361178</v>
      </c>
      <c r="W28" s="32">
        <f t="shared" si="15"/>
        <v>3192.8107538773329</v>
      </c>
      <c r="X28" s="32">
        <f t="shared" si="15"/>
        <v>6249.3888232848403</v>
      </c>
      <c r="Y28" s="32">
        <f>Y15-Y25</f>
        <v>4559.3494747307632</v>
      </c>
      <c r="Z28" s="32">
        <f t="shared" ref="Z28:AI28" si="16">Z15-Z25</f>
        <v>5273.5174200280017</v>
      </c>
      <c r="AA28" s="32">
        <f t="shared" si="16"/>
        <v>8613.52280407746</v>
      </c>
      <c r="AB28" s="32">
        <f t="shared" si="16"/>
        <v>6766.7711768500085</v>
      </c>
      <c r="AC28" s="32">
        <f t="shared" si="16"/>
        <v>7547.161773210828</v>
      </c>
      <c r="AD28" s="32">
        <f t="shared" si="16"/>
        <v>11196.875836507032</v>
      </c>
      <c r="AE28" s="32">
        <f t="shared" si="16"/>
        <v>9178.8804711416742</v>
      </c>
      <c r="AF28" s="32">
        <f t="shared" si="16"/>
        <v>10031.634346331237</v>
      </c>
      <c r="AG28" s="32">
        <f t="shared" si="16"/>
        <v>14019.77544557472</v>
      </c>
      <c r="AH28" s="32">
        <f t="shared" si="16"/>
        <v>11814.657423965109</v>
      </c>
      <c r="AI28" s="32">
        <f t="shared" si="16"/>
        <v>813743.10010032821</v>
      </c>
    </row>
    <row r="29" spans="1:35" ht="31.5">
      <c r="A29" s="59">
        <f>Dane!A29</f>
        <v>0.5</v>
      </c>
      <c r="B29" s="62" t="s">
        <v>30</v>
      </c>
      <c r="C29" s="58">
        <f>Dane!C30</f>
        <v>300</v>
      </c>
      <c r="E29" s="42" t="s">
        <v>50</v>
      </c>
      <c r="F29" s="32">
        <f>F28</f>
        <v>-68872.748701843986</v>
      </c>
      <c r="G29" s="32" t="e">
        <f>G28*(1-$C$38)</f>
        <v>#REF!</v>
      </c>
      <c r="H29" s="32" t="e">
        <f t="shared" ref="H29:X29" si="17">H28*(1-$C$38)</f>
        <v>#REF!</v>
      </c>
      <c r="I29" s="32" t="e">
        <f t="shared" si="17"/>
        <v>#REF!</v>
      </c>
      <c r="J29" s="32" t="e">
        <f t="shared" si="17"/>
        <v>#REF!</v>
      </c>
      <c r="K29" s="32" t="e">
        <f t="shared" si="17"/>
        <v>#REF!</v>
      </c>
      <c r="L29" s="32" t="e">
        <f t="shared" si="17"/>
        <v>#REF!</v>
      </c>
      <c r="M29" s="32" t="e">
        <f t="shared" si="17"/>
        <v>#REF!</v>
      </c>
      <c r="N29" s="32" t="e">
        <f t="shared" si="17"/>
        <v>#REF!</v>
      </c>
      <c r="O29" s="32" t="e">
        <f t="shared" si="17"/>
        <v>#REF!</v>
      </c>
      <c r="P29" s="32" t="e">
        <f t="shared" si="17"/>
        <v>#REF!</v>
      </c>
      <c r="Q29" s="32" t="e">
        <f t="shared" si="17"/>
        <v>#REF!</v>
      </c>
      <c r="R29" s="32" t="e">
        <f t="shared" si="17"/>
        <v>#REF!</v>
      </c>
      <c r="S29" s="32" t="e">
        <f t="shared" si="17"/>
        <v>#REF!</v>
      </c>
      <c r="T29" s="32" t="e">
        <f t="shared" si="17"/>
        <v>#REF!</v>
      </c>
      <c r="U29" s="32" t="e">
        <f t="shared" si="17"/>
        <v>#REF!</v>
      </c>
      <c r="V29" s="32" t="e">
        <f t="shared" si="17"/>
        <v>#REF!</v>
      </c>
      <c r="W29" s="32" t="e">
        <f t="shared" si="17"/>
        <v>#REF!</v>
      </c>
      <c r="X29" s="32" t="e">
        <f t="shared" si="17"/>
        <v>#REF!</v>
      </c>
      <c r="Y29" s="32" t="e">
        <f t="shared" ref="Y29" si="18">Y28*(1-$C$38)</f>
        <v>#REF!</v>
      </c>
      <c r="Z29" s="32" t="e">
        <f t="shared" ref="Z29" si="19">Z28*(1-$C$38)</f>
        <v>#REF!</v>
      </c>
      <c r="AA29" s="32" t="e">
        <f t="shared" ref="AA29" si="20">AA28*(1-$C$38)</f>
        <v>#REF!</v>
      </c>
      <c r="AB29" s="32" t="e">
        <f t="shared" ref="AB29" si="21">AB28*(1-$C$38)</f>
        <v>#REF!</v>
      </c>
      <c r="AC29" s="32" t="e">
        <f t="shared" ref="AC29" si="22">AC28*(1-$C$38)</f>
        <v>#REF!</v>
      </c>
      <c r="AD29" s="32" t="e">
        <f t="shared" ref="AD29" si="23">AD28*(1-$C$38)</f>
        <v>#REF!</v>
      </c>
      <c r="AE29" s="32" t="e">
        <f t="shared" ref="AE29" si="24">AE28*(1-$C$38)</f>
        <v>#REF!</v>
      </c>
      <c r="AF29" s="32" t="e">
        <f t="shared" ref="AF29" si="25">AF28*(1-$C$38)</f>
        <v>#REF!</v>
      </c>
      <c r="AG29" s="32" t="e">
        <f t="shared" ref="AG29:AH29" si="26">AG28*(1-$C$38)</f>
        <v>#REF!</v>
      </c>
      <c r="AH29" s="32" t="e">
        <f t="shared" si="26"/>
        <v>#REF!</v>
      </c>
      <c r="AI29" s="32">
        <f t="shared" ref="AI29" si="27">AI28</f>
        <v>813743.10010032821</v>
      </c>
    </row>
    <row r="30" spans="1:35">
      <c r="A30" s="55"/>
      <c r="B30" s="62" t="s">
        <v>31</v>
      </c>
      <c r="C30" s="58">
        <f>Dane!C31</f>
        <v>500</v>
      </c>
    </row>
    <row r="31" spans="1:35">
      <c r="A31" s="55"/>
      <c r="B31" s="62" t="s">
        <v>32</v>
      </c>
      <c r="C31" s="58">
        <f>Dane!C32</f>
        <v>0</v>
      </c>
    </row>
    <row r="32" spans="1:35">
      <c r="A32" s="55"/>
      <c r="B32" s="62" t="s">
        <v>34</v>
      </c>
      <c r="C32" s="68">
        <f>C35</f>
        <v>0.03</v>
      </c>
    </row>
    <row r="33" spans="1:35">
      <c r="A33" s="55"/>
      <c r="B33" s="56"/>
      <c r="C33" s="55"/>
    </row>
    <row r="34" spans="1:35" ht="31.5">
      <c r="A34" s="55"/>
      <c r="B34" s="56" t="s">
        <v>47</v>
      </c>
      <c r="C34" s="55"/>
      <c r="E34" s="41" t="s">
        <v>46</v>
      </c>
      <c r="F34" s="41">
        <f>F28</f>
        <v>-68872.748701843986</v>
      </c>
      <c r="G34" s="41">
        <f t="shared" ref="G34:O34" si="28">G28+F34</f>
        <v>-74135.717403687973</v>
      </c>
      <c r="H34" s="41">
        <f t="shared" si="28"/>
        <v>-78979.187705531949</v>
      </c>
      <c r="I34" s="41">
        <f t="shared" si="28"/>
        <v>-81860.756855375919</v>
      </c>
      <c r="J34" s="41">
        <f t="shared" si="28"/>
        <v>-85827.097952659897</v>
      </c>
      <c r="K34" s="41">
        <f t="shared" si="28"/>
        <v>-89335.04182180707</v>
      </c>
      <c r="L34" s="41">
        <f t="shared" si="28"/>
        <v>-90699.163330832744</v>
      </c>
      <c r="M34" s="41">
        <f t="shared" si="28"/>
        <v>-93248.644435668684</v>
      </c>
      <c r="N34" s="41">
        <f t="shared" si="28"/>
        <v>-95297.222512594381</v>
      </c>
      <c r="O34" s="41">
        <f t="shared" si="28"/>
        <v>-95003.188013411593</v>
      </c>
      <c r="P34" s="41">
        <f t="shared" ref="P34:Y35" si="29">P28+O34</f>
        <v>-96004.427949279765</v>
      </c>
      <c r="Q34" s="41">
        <f t="shared" si="29"/>
        <v>-96458.317622168659</v>
      </c>
      <c r="R34" s="41">
        <f t="shared" si="29"/>
        <v>-94352.371282604261</v>
      </c>
      <c r="S34" s="41">
        <f t="shared" si="29"/>
        <v>-93661.806290629786</v>
      </c>
      <c r="T34" s="41">
        <f t="shared" si="29"/>
        <v>-92373.136887840752</v>
      </c>
      <c r="U34" s="41">
        <f t="shared" si="29"/>
        <v>-88287.265558671672</v>
      </c>
      <c r="V34" s="41">
        <f t="shared" si="29"/>
        <v>-85748.019643310487</v>
      </c>
      <c r="W34" s="41">
        <f t="shared" si="29"/>
        <v>-82555.208889433154</v>
      </c>
      <c r="X34" s="41">
        <f t="shared" si="29"/>
        <v>-76305.820066148313</v>
      </c>
      <c r="Y34" s="41">
        <f t="shared" si="29"/>
        <v>-71746.470591417543</v>
      </c>
      <c r="Z34" s="41">
        <f t="shared" ref="Z34:AI34" si="30">Z28+Y34</f>
        <v>-66472.953171389541</v>
      </c>
      <c r="AA34" s="41">
        <f t="shared" si="30"/>
        <v>-57859.430367312081</v>
      </c>
      <c r="AB34" s="41">
        <f t="shared" si="30"/>
        <v>-51092.659190462073</v>
      </c>
      <c r="AC34" s="41">
        <f t="shared" si="30"/>
        <v>-43545.497417251245</v>
      </c>
      <c r="AD34" s="41">
        <f t="shared" si="30"/>
        <v>-32348.621580744213</v>
      </c>
      <c r="AE34" s="41">
        <f t="shared" si="30"/>
        <v>-23169.741109602539</v>
      </c>
      <c r="AF34" s="41">
        <f t="shared" si="30"/>
        <v>-13138.106763271302</v>
      </c>
      <c r="AG34" s="41">
        <f t="shared" si="30"/>
        <v>881.66868230341788</v>
      </c>
      <c r="AH34" s="41">
        <f t="shared" si="30"/>
        <v>12696.326106268527</v>
      </c>
      <c r="AI34" s="41">
        <f t="shared" si="30"/>
        <v>826439.42620659678</v>
      </c>
    </row>
    <row r="35" spans="1:35" ht="31.5">
      <c r="A35" s="55"/>
      <c r="B35" s="69" t="s">
        <v>15</v>
      </c>
      <c r="C35" s="70">
        <f>Dane!C35</f>
        <v>0.03</v>
      </c>
      <c r="E35" s="41" t="s">
        <v>49</v>
      </c>
      <c r="F35" s="32">
        <f>F28</f>
        <v>-68872.748701843986</v>
      </c>
      <c r="G35" s="32" t="e">
        <f>G29+F35</f>
        <v>#REF!</v>
      </c>
      <c r="H35" s="32" t="e">
        <f t="shared" ref="H35:O35" si="31">H29+G35</f>
        <v>#REF!</v>
      </c>
      <c r="I35" s="32" t="e">
        <f t="shared" si="31"/>
        <v>#REF!</v>
      </c>
      <c r="J35" s="32" t="e">
        <f t="shared" si="31"/>
        <v>#REF!</v>
      </c>
      <c r="K35" s="32" t="e">
        <f t="shared" si="31"/>
        <v>#REF!</v>
      </c>
      <c r="L35" s="32" t="e">
        <f t="shared" si="31"/>
        <v>#REF!</v>
      </c>
      <c r="M35" s="32" t="e">
        <f t="shared" si="31"/>
        <v>#REF!</v>
      </c>
      <c r="N35" s="32" t="e">
        <f t="shared" si="31"/>
        <v>#REF!</v>
      </c>
      <c r="O35" s="32" t="e">
        <f t="shared" si="31"/>
        <v>#REF!</v>
      </c>
      <c r="P35" s="32" t="e">
        <f t="shared" si="29"/>
        <v>#REF!</v>
      </c>
      <c r="Q35" s="32" t="e">
        <f t="shared" si="29"/>
        <v>#REF!</v>
      </c>
      <c r="R35" s="32" t="e">
        <f t="shared" si="29"/>
        <v>#REF!</v>
      </c>
      <c r="S35" s="32" t="e">
        <f t="shared" si="29"/>
        <v>#REF!</v>
      </c>
      <c r="T35" s="32" t="e">
        <f t="shared" si="29"/>
        <v>#REF!</v>
      </c>
      <c r="U35" s="32" t="e">
        <f t="shared" si="29"/>
        <v>#REF!</v>
      </c>
      <c r="V35" s="32" t="e">
        <f t="shared" si="29"/>
        <v>#REF!</v>
      </c>
      <c r="W35" s="32" t="e">
        <f t="shared" si="29"/>
        <v>#REF!</v>
      </c>
      <c r="X35" s="32" t="e">
        <f t="shared" si="29"/>
        <v>#REF!</v>
      </c>
      <c r="Y35" s="32" t="e">
        <f t="shared" si="29"/>
        <v>#REF!</v>
      </c>
      <c r="Z35" s="32" t="e">
        <f t="shared" ref="Z35:AI35" si="32">Z29+Y35</f>
        <v>#REF!</v>
      </c>
      <c r="AA35" s="32" t="e">
        <f t="shared" si="32"/>
        <v>#REF!</v>
      </c>
      <c r="AB35" s="32" t="e">
        <f t="shared" si="32"/>
        <v>#REF!</v>
      </c>
      <c r="AC35" s="32" t="e">
        <f t="shared" si="32"/>
        <v>#REF!</v>
      </c>
      <c r="AD35" s="32" t="e">
        <f t="shared" si="32"/>
        <v>#REF!</v>
      </c>
      <c r="AE35" s="32" t="e">
        <f t="shared" si="32"/>
        <v>#REF!</v>
      </c>
      <c r="AF35" s="32" t="e">
        <f t="shared" si="32"/>
        <v>#REF!</v>
      </c>
      <c r="AG35" s="32" t="e">
        <f t="shared" si="32"/>
        <v>#REF!</v>
      </c>
      <c r="AH35" s="32" t="e">
        <f t="shared" si="32"/>
        <v>#REF!</v>
      </c>
      <c r="AI35" s="32" t="e">
        <f t="shared" si="32"/>
        <v>#REF!</v>
      </c>
    </row>
    <row r="36" spans="1:35">
      <c r="A36" s="55"/>
      <c r="B36" s="69" t="s">
        <v>56</v>
      </c>
      <c r="C36" s="70">
        <f>Dane!C36</f>
        <v>0.03</v>
      </c>
    </row>
    <row r="37" spans="1:35" ht="15.75">
      <c r="A37" s="55"/>
      <c r="B37" s="69" t="s">
        <v>10</v>
      </c>
      <c r="C37" s="70">
        <f>Dane!C37</f>
        <v>0.05</v>
      </c>
      <c r="E37" s="81" t="s">
        <v>53</v>
      </c>
      <c r="F37" s="82">
        <f>NPV(C37,G28:AI28)+F28</f>
        <v>142744.61121583168</v>
      </c>
    </row>
    <row r="38" spans="1:35" ht="15.75">
      <c r="A38" s="55"/>
      <c r="B38" s="69" t="s">
        <v>48</v>
      </c>
      <c r="C38" s="70" t="e">
        <f>Dane!#REF!</f>
        <v>#REF!</v>
      </c>
      <c r="E38" s="81" t="s">
        <v>54</v>
      </c>
      <c r="F38" s="82" t="e">
        <f>NPV(C37,G29:AI29)+F29</f>
        <v>#REF!</v>
      </c>
    </row>
    <row r="40" spans="1:35">
      <c r="E40" s="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2"/>
  <dimension ref="A2:CX21"/>
  <sheetViews>
    <sheetView showGridLines="0" workbookViewId="0">
      <selection activeCell="B20" sqref="B20"/>
    </sheetView>
  </sheetViews>
  <sheetFormatPr defaultRowHeight="15"/>
  <cols>
    <col min="1" max="1" width="43.28515625" bestFit="1" customWidth="1"/>
    <col min="2" max="2" width="9.28515625" bestFit="1" customWidth="1"/>
    <col min="3" max="3" width="10.85546875" bestFit="1" customWidth="1"/>
    <col min="4" max="5" width="9.28515625" bestFit="1" customWidth="1"/>
    <col min="6" max="6" width="11.42578125" bestFit="1" customWidth="1"/>
    <col min="7" max="26" width="9.28515625" bestFit="1" customWidth="1"/>
    <col min="27" max="32" width="8.28515625" bestFit="1" customWidth="1"/>
    <col min="37" max="52" width="10" bestFit="1" customWidth="1"/>
  </cols>
  <sheetData>
    <row r="2" spans="1:102">
      <c r="A2" s="86" t="s">
        <v>41</v>
      </c>
      <c r="B2" s="4">
        <v>0</v>
      </c>
      <c r="C2" s="4">
        <v>1</v>
      </c>
      <c r="D2" s="4">
        <v>2</v>
      </c>
      <c r="E2" s="4">
        <v>3</v>
      </c>
      <c r="F2" s="4">
        <v>4</v>
      </c>
      <c r="G2" s="4">
        <v>5</v>
      </c>
      <c r="H2" s="4">
        <v>6</v>
      </c>
      <c r="I2" s="4">
        <v>7</v>
      </c>
      <c r="J2" s="4">
        <v>8</v>
      </c>
      <c r="K2" s="4">
        <v>9</v>
      </c>
      <c r="L2" s="4">
        <v>10</v>
      </c>
      <c r="M2" s="4">
        <v>11</v>
      </c>
      <c r="N2" s="4">
        <v>12</v>
      </c>
      <c r="O2" s="4">
        <v>13</v>
      </c>
      <c r="P2" s="4">
        <v>14</v>
      </c>
      <c r="Q2" s="4">
        <v>15</v>
      </c>
      <c r="R2" s="4">
        <v>16</v>
      </c>
      <c r="S2" s="4">
        <v>17</v>
      </c>
      <c r="T2" s="4">
        <v>18</v>
      </c>
      <c r="U2" s="4">
        <v>19</v>
      </c>
      <c r="V2" s="4">
        <v>20</v>
      </c>
      <c r="W2" s="4">
        <v>21</v>
      </c>
      <c r="X2" s="4">
        <v>22</v>
      </c>
      <c r="Y2" s="4">
        <v>23</v>
      </c>
      <c r="Z2" s="4">
        <v>24</v>
      </c>
      <c r="AA2" s="4">
        <v>25</v>
      </c>
      <c r="AB2" s="4">
        <v>26</v>
      </c>
      <c r="AC2" s="4">
        <v>27</v>
      </c>
      <c r="AD2" s="4">
        <v>28</v>
      </c>
      <c r="AE2" s="4">
        <v>29</v>
      </c>
      <c r="AF2" s="4">
        <v>30</v>
      </c>
      <c r="AG2" s="4">
        <v>31</v>
      </c>
      <c r="AH2" s="4">
        <v>32</v>
      </c>
      <c r="AI2" s="4">
        <v>33</v>
      </c>
      <c r="AJ2" s="4">
        <v>34</v>
      </c>
      <c r="AK2" s="4">
        <v>35</v>
      </c>
      <c r="AL2" s="4">
        <v>36</v>
      </c>
      <c r="AM2" s="4">
        <v>37</v>
      </c>
      <c r="AN2" s="4">
        <v>38</v>
      </c>
      <c r="AO2" s="4">
        <v>39</v>
      </c>
      <c r="AP2" s="4">
        <v>40</v>
      </c>
      <c r="AQ2" s="4">
        <v>41</v>
      </c>
      <c r="AR2" s="4">
        <v>42</v>
      </c>
      <c r="AS2" s="4">
        <v>43</v>
      </c>
      <c r="AT2" s="4">
        <v>44</v>
      </c>
      <c r="AU2" s="4">
        <v>45</v>
      </c>
      <c r="AV2" s="4">
        <v>46</v>
      </c>
      <c r="AW2" s="4">
        <v>47</v>
      </c>
      <c r="AX2" s="4">
        <v>48</v>
      </c>
      <c r="AY2" s="4">
        <v>49</v>
      </c>
      <c r="AZ2" s="4">
        <v>50</v>
      </c>
      <c r="BA2" s="4">
        <v>51</v>
      </c>
      <c r="BB2" s="4">
        <v>52</v>
      </c>
      <c r="BC2" s="4">
        <v>53</v>
      </c>
      <c r="BD2" s="4">
        <v>54</v>
      </c>
      <c r="BE2" s="4">
        <v>55</v>
      </c>
      <c r="BF2" s="4">
        <v>56</v>
      </c>
      <c r="BG2" s="4">
        <v>57</v>
      </c>
      <c r="BH2" s="4">
        <v>58</v>
      </c>
      <c r="BI2" s="4">
        <v>59</v>
      </c>
      <c r="BJ2" s="4">
        <v>60</v>
      </c>
      <c r="BK2" s="4">
        <v>61</v>
      </c>
      <c r="BL2" s="4">
        <v>62</v>
      </c>
      <c r="BM2" s="4">
        <v>63</v>
      </c>
      <c r="BN2" s="4">
        <v>64</v>
      </c>
      <c r="BO2" s="4">
        <v>65</v>
      </c>
      <c r="BP2" s="4">
        <v>66</v>
      </c>
      <c r="BQ2" s="4">
        <v>67</v>
      </c>
      <c r="BR2" s="4">
        <v>68</v>
      </c>
      <c r="BS2" s="4">
        <v>69</v>
      </c>
      <c r="BT2" s="4">
        <v>70</v>
      </c>
      <c r="BU2" s="4">
        <v>71</v>
      </c>
      <c r="BV2" s="4">
        <v>72</v>
      </c>
      <c r="BW2" s="4">
        <v>73</v>
      </c>
      <c r="BX2" s="4">
        <v>74</v>
      </c>
      <c r="BY2" s="4">
        <v>75</v>
      </c>
      <c r="BZ2" s="4">
        <v>76</v>
      </c>
      <c r="CA2" s="4">
        <v>77</v>
      </c>
      <c r="CB2" s="4">
        <v>78</v>
      </c>
      <c r="CC2" s="4">
        <v>79</v>
      </c>
      <c r="CD2" s="4">
        <v>80</v>
      </c>
      <c r="CE2" s="4">
        <v>81</v>
      </c>
      <c r="CF2" s="4">
        <v>82</v>
      </c>
      <c r="CG2" s="4">
        <v>83</v>
      </c>
      <c r="CH2" s="4">
        <v>84</v>
      </c>
      <c r="CI2" s="4">
        <v>85</v>
      </c>
      <c r="CJ2" s="4">
        <v>86</v>
      </c>
      <c r="CK2" s="4">
        <v>87</v>
      </c>
      <c r="CL2" s="4">
        <v>88</v>
      </c>
      <c r="CM2" s="4">
        <v>89</v>
      </c>
      <c r="CN2" s="4">
        <v>90</v>
      </c>
      <c r="CO2" s="4">
        <v>91</v>
      </c>
      <c r="CP2" s="4">
        <v>92</v>
      </c>
      <c r="CQ2" s="4">
        <v>93</v>
      </c>
      <c r="CR2" s="4">
        <v>94</v>
      </c>
      <c r="CS2" s="4">
        <v>95</v>
      </c>
      <c r="CT2" s="4">
        <v>96</v>
      </c>
      <c r="CU2" s="4">
        <v>97</v>
      </c>
      <c r="CV2" s="4">
        <v>98</v>
      </c>
      <c r="CW2" s="4">
        <v>99</v>
      </c>
      <c r="CX2" s="4">
        <v>100</v>
      </c>
    </row>
    <row r="3" spans="1:102">
      <c r="A3" s="86" t="s">
        <v>37</v>
      </c>
      <c r="B3" s="87"/>
      <c r="C3" s="87">
        <f>IF(C2&lt;=Dane!$C$15,-PMT(Dane!$C$14,Dane!$C$15,Dane!$C$13,0),0)</f>
        <v>19246.248701843979</v>
      </c>
      <c r="D3" s="87">
        <f>IF(D2&lt;=Dane!$C$15,-PMT(Dane!$C$14,Dane!$C$15,Dane!$C$13,0),0)</f>
        <v>19246.248701843979</v>
      </c>
      <c r="E3" s="87">
        <f>IF(E2&lt;=Dane!$C$15,-PMT(Dane!$C$14,Dane!$C$15,Dane!$C$13,0),0)</f>
        <v>19246.248701843979</v>
      </c>
      <c r="F3" s="87">
        <f>IF(F2&lt;=Dane!$C$15,-PMT(Dane!$C$14,Dane!$C$15,Dane!$C$13,0),0)</f>
        <v>19246.248701843979</v>
      </c>
      <c r="G3" s="87">
        <f>IF(G2&lt;=Dane!$C$15,-PMT(Dane!$C$14,Dane!$C$15,Dane!$C$13,0),0)</f>
        <v>19246.248701843979</v>
      </c>
      <c r="H3" s="87">
        <f>IF(H2&lt;=Dane!$C$15,-PMT(Dane!$C$14,Dane!$C$15,Dane!$C$13,0),0)</f>
        <v>19246.248701843979</v>
      </c>
      <c r="I3" s="87">
        <f>IF(I2&lt;=Dane!$C$15,-PMT(Dane!$C$14,Dane!$C$15,Dane!$C$13,0),0)</f>
        <v>19246.248701843979</v>
      </c>
      <c r="J3" s="87">
        <f>IF(J2&lt;=Dane!$C$15,-PMT(Dane!$C$14,Dane!$C$15,Dane!$C$13,0),0)</f>
        <v>19246.248701843979</v>
      </c>
      <c r="K3" s="87">
        <f>IF(K2&lt;=Dane!$C$15,-PMT(Dane!$C$14,Dane!$C$15,Dane!$C$13,0),0)</f>
        <v>19246.248701843979</v>
      </c>
      <c r="L3" s="87">
        <f>IF(L2&lt;=Dane!$C$15,-PMT(Dane!$C$14,Dane!$C$15,Dane!$C$13,0),0)</f>
        <v>19246.248701843979</v>
      </c>
      <c r="M3" s="87">
        <f>IF(M2&lt;=Dane!$C$15,-PMT(Dane!$C$14,Dane!$C$15,Dane!$C$13,0),0)</f>
        <v>19246.248701843979</v>
      </c>
      <c r="N3" s="87">
        <f>IF(N2&lt;=Dane!$C$15,-PMT(Dane!$C$14,Dane!$C$15,Dane!$C$13,0),0)</f>
        <v>19246.248701843979</v>
      </c>
      <c r="O3" s="87">
        <f>IF(O2&lt;=Dane!$C$15,-PMT(Dane!$C$14,Dane!$C$15,Dane!$C$13,0),0)</f>
        <v>19246.248701843979</v>
      </c>
      <c r="P3" s="87">
        <f>IF(P2&lt;=Dane!$C$15,-PMT(Dane!$C$14,Dane!$C$15,Dane!$C$13,0),0)</f>
        <v>19246.248701843979</v>
      </c>
      <c r="Q3" s="87">
        <f>IF(Q2&lt;=Dane!$C$15,-PMT(Dane!$C$14,Dane!$C$15,Dane!$C$13,0),0)</f>
        <v>19246.248701843979</v>
      </c>
      <c r="R3" s="87">
        <f>IF(R2&lt;=Dane!$C$15,-PMT(Dane!$C$14,Dane!$C$15,Dane!$C$13,0),0)</f>
        <v>19246.248701843979</v>
      </c>
      <c r="S3" s="87">
        <f>IF(S2&lt;=Dane!$C$15,-PMT(Dane!$C$14,Dane!$C$15,Dane!$C$13,0),0)</f>
        <v>19246.248701843979</v>
      </c>
      <c r="T3" s="87">
        <f>IF(T2&lt;=Dane!$C$15,-PMT(Dane!$C$14,Dane!$C$15,Dane!$C$13,0),0)</f>
        <v>19246.248701843979</v>
      </c>
      <c r="U3" s="87">
        <f>IF(U2&lt;=Dane!$C$15,-PMT(Dane!$C$14,Dane!$C$15,Dane!$C$13,0),0)</f>
        <v>19246.248701843979</v>
      </c>
      <c r="V3" s="87">
        <f>IF(V2&lt;=Dane!$C$15,-PMT(Dane!$C$14,Dane!$C$15,Dane!$C$13,0),0)</f>
        <v>19246.248701843979</v>
      </c>
      <c r="W3" s="87">
        <f>IF(W2&lt;=Dane!$C$15,-PMT(Dane!$C$14,Dane!$C$15,Dane!$C$13,0),0)</f>
        <v>19246.248701843979</v>
      </c>
      <c r="X3" s="87">
        <f>IF(X2&lt;=Dane!$C$15,-PMT(Dane!$C$14,Dane!$C$15,Dane!$C$13,0),0)</f>
        <v>19246.248701843979</v>
      </c>
      <c r="Y3" s="87">
        <f>IF(Y2&lt;=Dane!$C$15,-PMT(Dane!$C$14,Dane!$C$15,Dane!$C$13,0),0)</f>
        <v>19246.248701843979</v>
      </c>
      <c r="Z3" s="87">
        <f>IF(Z2&lt;=Dane!$C$15,-PMT(Dane!$C$14,Dane!$C$15,Dane!$C$13,0),0)</f>
        <v>19246.248701843979</v>
      </c>
      <c r="AA3" s="87">
        <f>IF(AA2&lt;=Dane!$C$15,-PMT(Dane!$C$14,Dane!$C$15,Dane!$C$13,0),0)</f>
        <v>19246.248701843979</v>
      </c>
      <c r="AB3" s="87">
        <f>IF(AB2&lt;=Dane!$C$15,-PMT(Dane!$C$14,Dane!$C$15,Dane!$C$13,0),0)</f>
        <v>19246.248701843979</v>
      </c>
      <c r="AC3" s="87">
        <f>IF(AC2&lt;=Dane!$C$15,-PMT(Dane!$C$14,Dane!$C$15,Dane!$C$13,0),0)</f>
        <v>19246.248701843979</v>
      </c>
      <c r="AD3" s="87">
        <f>IF(AD2&lt;=Dane!$C$15,-PMT(Dane!$C$14,Dane!$C$15,Dane!$C$13,0),0)</f>
        <v>19246.248701843979</v>
      </c>
      <c r="AE3" s="87">
        <f>IF(AE2&lt;=Dane!$C$15,-PMT(Dane!$C$14,Dane!$C$15,Dane!$C$13,0),0)</f>
        <v>19246.248701843979</v>
      </c>
      <c r="AF3" s="87">
        <f>IF(AF2&lt;=Dane!$C$15,-PMT(Dane!$C$14,Dane!$C$15,Dane!$C$13,0),0)</f>
        <v>19246.248701843979</v>
      </c>
      <c r="AG3" s="87">
        <f>IF(AG2&lt;=Dane!$C$15,-PMT(Dane!$C$14,Dane!$C$15,Dane!$C$13,0),0)</f>
        <v>0</v>
      </c>
      <c r="AH3" s="87">
        <f>IF(AH2&lt;=Dane!$C$15,-PMT(Dane!$C$14,Dane!$C$15,Dane!$C$13,0),0)</f>
        <v>0</v>
      </c>
      <c r="AI3" s="87">
        <f>IF(AI2&lt;=Dane!$C$15,-PMT(Dane!$C$14,Dane!$C$15,Dane!$C$13,0),0)</f>
        <v>0</v>
      </c>
      <c r="AJ3" s="87">
        <f>IF(AJ2&lt;=Dane!$C$15,-PMT(Dane!$C$14,Dane!$C$15,Dane!$C$13,0),0)</f>
        <v>0</v>
      </c>
      <c r="AK3" s="87">
        <f>IF(AK2&lt;=Dane!$C$15,-PMT(Dane!$C$14,Dane!$C$15,Dane!$C$13,0),0)</f>
        <v>0</v>
      </c>
      <c r="AL3" s="87">
        <f>IF(AL2&lt;=Dane!$C$15,-PMT(Dane!$C$14,Dane!$C$15,Dane!$C$13,0),0)</f>
        <v>0</v>
      </c>
      <c r="AM3" s="87">
        <f>IF(AM2&lt;=Dane!$C$15,-PMT(Dane!$C$14,Dane!$C$15,Dane!$C$13,0),0)</f>
        <v>0</v>
      </c>
      <c r="AN3" s="87">
        <f>IF(AN2&lt;=Dane!$C$15,-PMT(Dane!$C$14,Dane!$C$15,Dane!$C$13,0),0)</f>
        <v>0</v>
      </c>
      <c r="AO3" s="87">
        <f>IF(AO2&lt;=Dane!$C$15,-PMT(Dane!$C$14,Dane!$C$15,Dane!$C$13,0),0)</f>
        <v>0</v>
      </c>
      <c r="AP3" s="87">
        <f>IF(AP2&lt;=Dane!$C$15,-PMT(Dane!$C$14,Dane!$C$15,Dane!$C$13,0),0)</f>
        <v>0</v>
      </c>
      <c r="AQ3" s="87">
        <f>IF(AQ2&lt;=Dane!$C$15,-PMT(Dane!$C$14,Dane!$C$15,Dane!$C$13,0),0)</f>
        <v>0</v>
      </c>
      <c r="AR3" s="87">
        <f>IF(AR2&lt;=Dane!$C$15,-PMT(Dane!$C$14,Dane!$C$15,Dane!$C$13,0),0)</f>
        <v>0</v>
      </c>
      <c r="AS3" s="87">
        <f>IF(AS2&lt;=Dane!$C$15,-PMT(Dane!$C$14,Dane!$C$15,Dane!$C$13,0),0)</f>
        <v>0</v>
      </c>
      <c r="AT3" s="87">
        <f>IF(AT2&lt;=Dane!$C$15,-PMT(Dane!$C$14,Dane!$C$15,Dane!$C$13,0),0)</f>
        <v>0</v>
      </c>
      <c r="AU3" s="87">
        <f>IF(AU2&lt;=Dane!$C$15,-PMT(Dane!$C$14,Dane!$C$15,Dane!$C$13,0),0)</f>
        <v>0</v>
      </c>
      <c r="AV3" s="87">
        <f>IF(AV2&lt;=Dane!$C$15,-PMT(Dane!$C$14,Dane!$C$15,Dane!$C$13,0),0)</f>
        <v>0</v>
      </c>
      <c r="AW3" s="87">
        <f>IF(AW2&lt;=Dane!$C$15,-PMT(Dane!$C$14,Dane!$C$15,Dane!$C$13,0),0)</f>
        <v>0</v>
      </c>
      <c r="AX3" s="87">
        <f>IF(AX2&lt;=Dane!$C$15,-PMT(Dane!$C$14,Dane!$C$15,Dane!$C$13,0),0)</f>
        <v>0</v>
      </c>
      <c r="AY3" s="87">
        <f>IF(AY2&lt;=Dane!$C$15,-PMT(Dane!$C$14,Dane!$C$15,Dane!$C$13,0),0)</f>
        <v>0</v>
      </c>
      <c r="AZ3" s="87">
        <f>IF(AZ2&lt;=Dane!$C$15,-PMT(Dane!$C$14,Dane!$C$15,Dane!$C$13,0),0)</f>
        <v>0</v>
      </c>
      <c r="BA3" s="87">
        <f>IF(BA2&lt;=Dane!$C$15,-PMT(Dane!$C$14,Dane!$C$15,Dane!$C$13,0),0)</f>
        <v>0</v>
      </c>
      <c r="BB3" s="87">
        <f>IF(BB2&lt;=Dane!$C$15,-PMT(Dane!$C$14,Dane!$C$15,Dane!$C$13,0),0)</f>
        <v>0</v>
      </c>
      <c r="BC3" s="87">
        <f>IF(BC2&lt;=Dane!$C$15,-PMT(Dane!$C$14,Dane!$C$15,Dane!$C$13,0),0)</f>
        <v>0</v>
      </c>
      <c r="BD3" s="87">
        <f>IF(BD2&lt;=Dane!$C$15,-PMT(Dane!$C$14,Dane!$C$15,Dane!$C$13,0),0)</f>
        <v>0</v>
      </c>
      <c r="BE3" s="87">
        <f>IF(BE2&lt;=Dane!$C$15,-PMT(Dane!$C$14,Dane!$C$15,Dane!$C$13,0),0)</f>
        <v>0</v>
      </c>
      <c r="BF3" s="87">
        <f>IF(BF2&lt;=Dane!$C$15,-PMT(Dane!$C$14,Dane!$C$15,Dane!$C$13,0),0)</f>
        <v>0</v>
      </c>
      <c r="BG3" s="87">
        <f>IF(BG2&lt;=Dane!$C$15,-PMT(Dane!$C$14,Dane!$C$15,Dane!$C$13,0),0)</f>
        <v>0</v>
      </c>
      <c r="BH3" s="87">
        <f>IF(BH2&lt;=Dane!$C$15,-PMT(Dane!$C$14,Dane!$C$15,Dane!$C$13,0),0)</f>
        <v>0</v>
      </c>
      <c r="BI3" s="87">
        <f>IF(BI2&lt;=Dane!$C$15,-PMT(Dane!$C$14,Dane!$C$15,Dane!$C$13,0),0)</f>
        <v>0</v>
      </c>
      <c r="BJ3" s="87">
        <f>IF(BJ2&lt;=Dane!$C$15,-PMT(Dane!$C$14,Dane!$C$15,Dane!$C$13,0),0)</f>
        <v>0</v>
      </c>
      <c r="BK3" s="87">
        <f>IF(BK2&lt;=Dane!$C$15,-PMT(Dane!$C$14,Dane!$C$15,Dane!$C$13,0),0)</f>
        <v>0</v>
      </c>
      <c r="BL3" s="87">
        <f>IF(BL2&lt;=Dane!$C$15,-PMT(Dane!$C$14,Dane!$C$15,Dane!$C$13,0),0)</f>
        <v>0</v>
      </c>
      <c r="BM3" s="87">
        <f>IF(BM2&lt;=Dane!$C$15,-PMT(Dane!$C$14,Dane!$C$15,Dane!$C$13,0),0)</f>
        <v>0</v>
      </c>
      <c r="BN3" s="87">
        <f>IF(BN2&lt;=Dane!$C$15,-PMT(Dane!$C$14,Dane!$C$15,Dane!$C$13,0),0)</f>
        <v>0</v>
      </c>
      <c r="BO3" s="87">
        <f>IF(BO2&lt;=Dane!$C$15,-PMT(Dane!$C$14,Dane!$C$15,Dane!$C$13,0),0)</f>
        <v>0</v>
      </c>
      <c r="BP3" s="87">
        <f>IF(BP2&lt;=Dane!$C$15,-PMT(Dane!$C$14,Dane!$C$15,Dane!$C$13,0),0)</f>
        <v>0</v>
      </c>
      <c r="BQ3" s="87">
        <f>IF(BQ2&lt;=Dane!$C$15,-PMT(Dane!$C$14,Dane!$C$15,Dane!$C$13,0),0)</f>
        <v>0</v>
      </c>
      <c r="BR3" s="87">
        <f>IF(BR2&lt;=Dane!$C$15,-PMT(Dane!$C$14,Dane!$C$15,Dane!$C$13,0),0)</f>
        <v>0</v>
      </c>
      <c r="BS3" s="87">
        <f>IF(BS2&lt;=Dane!$C$15,-PMT(Dane!$C$14,Dane!$C$15,Dane!$C$13,0),0)</f>
        <v>0</v>
      </c>
      <c r="BT3" s="87">
        <f>IF(BT2&lt;=Dane!$C$15,-PMT(Dane!$C$14,Dane!$C$15,Dane!$C$13,0),0)</f>
        <v>0</v>
      </c>
      <c r="BU3" s="87">
        <f>IF(BU2&lt;=Dane!$C$15,-PMT(Dane!$C$14,Dane!$C$15,Dane!$C$13,0),0)</f>
        <v>0</v>
      </c>
      <c r="BV3" s="87">
        <f>IF(BV2&lt;=Dane!$C$15,-PMT(Dane!$C$14,Dane!$C$15,Dane!$C$13,0),0)</f>
        <v>0</v>
      </c>
      <c r="BW3" s="87">
        <f>IF(BW2&lt;=Dane!$C$15,-PMT(Dane!$C$14,Dane!$C$15,Dane!$C$13,0),0)</f>
        <v>0</v>
      </c>
      <c r="BX3" s="87">
        <f>IF(BX2&lt;=Dane!$C$15,-PMT(Dane!$C$14,Dane!$C$15,Dane!$C$13,0),0)</f>
        <v>0</v>
      </c>
      <c r="BY3" s="87">
        <f>IF(BY2&lt;=Dane!$C$15,-PMT(Dane!$C$14,Dane!$C$15,Dane!$C$13,0),0)</f>
        <v>0</v>
      </c>
      <c r="BZ3" s="87">
        <f>IF(BZ2&lt;=Dane!$C$15,-PMT(Dane!$C$14,Dane!$C$15,Dane!$C$13,0),0)</f>
        <v>0</v>
      </c>
      <c r="CA3" s="87">
        <f>IF(CA2&lt;=Dane!$C$15,-PMT(Dane!$C$14,Dane!$C$15,Dane!$C$13,0),0)</f>
        <v>0</v>
      </c>
      <c r="CB3" s="87">
        <f>IF(CB2&lt;=Dane!$C$15,-PMT(Dane!$C$14,Dane!$C$15,Dane!$C$13,0),0)</f>
        <v>0</v>
      </c>
      <c r="CC3" s="87">
        <f>IF(CC2&lt;=Dane!$C$15,-PMT(Dane!$C$14,Dane!$C$15,Dane!$C$13,0),0)</f>
        <v>0</v>
      </c>
      <c r="CD3" s="87">
        <f>IF(CD2&lt;=Dane!$C$15,-PMT(Dane!$C$14,Dane!$C$15,Dane!$C$13,0),0)</f>
        <v>0</v>
      </c>
      <c r="CE3" s="87">
        <f>IF(CE2&lt;=Dane!$C$15,-PMT(Dane!$C$14,Dane!$C$15,Dane!$C$13,0),0)</f>
        <v>0</v>
      </c>
      <c r="CF3" s="87">
        <f>IF(CF2&lt;=Dane!$C$15,-PMT(Dane!$C$14,Dane!$C$15,Dane!$C$13,0),0)</f>
        <v>0</v>
      </c>
      <c r="CG3" s="87">
        <f>IF(CG2&lt;=Dane!$C$15,-PMT(Dane!$C$14,Dane!$C$15,Dane!$C$13,0),0)</f>
        <v>0</v>
      </c>
      <c r="CH3" s="87">
        <f>IF(CH2&lt;=Dane!$C$15,-PMT(Dane!$C$14,Dane!$C$15,Dane!$C$13,0),0)</f>
        <v>0</v>
      </c>
      <c r="CI3" s="87">
        <f>IF(CI2&lt;=Dane!$C$15,-PMT(Dane!$C$14,Dane!$C$15,Dane!$C$13,0),0)</f>
        <v>0</v>
      </c>
      <c r="CJ3" s="87">
        <f>IF(CJ2&lt;=Dane!$C$15,-PMT(Dane!$C$14,Dane!$C$15,Dane!$C$13,0),0)</f>
        <v>0</v>
      </c>
      <c r="CK3" s="87">
        <f>IF(CK2&lt;=Dane!$C$15,-PMT(Dane!$C$14,Dane!$C$15,Dane!$C$13,0),0)</f>
        <v>0</v>
      </c>
      <c r="CL3" s="87">
        <f>IF(CL2&lt;=Dane!$C$15,-PMT(Dane!$C$14,Dane!$C$15,Dane!$C$13,0),0)</f>
        <v>0</v>
      </c>
      <c r="CM3" s="87">
        <f>IF(CM2&lt;=Dane!$C$15,-PMT(Dane!$C$14,Dane!$C$15,Dane!$C$13,0),0)</f>
        <v>0</v>
      </c>
      <c r="CN3" s="87">
        <f>IF(CN2&lt;=Dane!$C$15,-PMT(Dane!$C$14,Dane!$C$15,Dane!$C$13,0),0)</f>
        <v>0</v>
      </c>
      <c r="CO3" s="87">
        <f>IF(CO2&lt;=Dane!$C$15,-PMT(Dane!$C$14,Dane!$C$15,Dane!$C$13,0),0)</f>
        <v>0</v>
      </c>
      <c r="CP3" s="87">
        <f>IF(CP2&lt;=Dane!$C$15,-PMT(Dane!$C$14,Dane!$C$15,Dane!$C$13,0),0)</f>
        <v>0</v>
      </c>
      <c r="CQ3" s="87">
        <f>IF(CQ2&lt;=Dane!$C$15,-PMT(Dane!$C$14,Dane!$C$15,Dane!$C$13,0),0)</f>
        <v>0</v>
      </c>
      <c r="CR3" s="87">
        <f>IF(CR2&lt;=Dane!$C$15,-PMT(Dane!$C$14,Dane!$C$15,Dane!$C$13,0),0)</f>
        <v>0</v>
      </c>
      <c r="CS3" s="87">
        <f>IF(CS2&lt;=Dane!$C$15,-PMT(Dane!$C$14,Dane!$C$15,Dane!$C$13,0),0)</f>
        <v>0</v>
      </c>
      <c r="CT3" s="87">
        <f>IF(CT2&lt;=Dane!$C$15,-PMT(Dane!$C$14,Dane!$C$15,Dane!$C$13,0),0)</f>
        <v>0</v>
      </c>
      <c r="CU3" s="87">
        <f>IF(CU2&lt;=Dane!$C$15,-PMT(Dane!$C$14,Dane!$C$15,Dane!$C$13,0),0)</f>
        <v>0</v>
      </c>
      <c r="CV3" s="87">
        <f>IF(CV2&lt;=Dane!$C$15,-PMT(Dane!$C$14,Dane!$C$15,Dane!$C$13,0),0)</f>
        <v>0</v>
      </c>
      <c r="CW3" s="87">
        <f>IF(CW2&lt;=Dane!$C$15,-PMT(Dane!$C$14,Dane!$C$15,Dane!$C$13,0),0)</f>
        <v>0</v>
      </c>
      <c r="CX3" s="87">
        <f>IF(CX2&lt;=Dane!$C$15,-PMT(Dane!$C$14,Dane!$C$15,Dane!$C$13,0),0)</f>
        <v>0</v>
      </c>
    </row>
    <row r="4" spans="1:102">
      <c r="A4" s="86" t="s">
        <v>40</v>
      </c>
      <c r="B4" s="4"/>
      <c r="C4" s="87">
        <f>IF(C2&lt;=Dane!$C$15,Dane!$C$14*B6,0)</f>
        <v>14107.5</v>
      </c>
      <c r="D4" s="87">
        <f>IF(D2&lt;=Dane!$C$15,Dane!$C$14*C6,0)</f>
        <v>13876.256308417022</v>
      </c>
      <c r="E4" s="87">
        <f>IF(E2&lt;=Dane!$C$15,Dane!$C$14*D6,0)</f>
        <v>13634.606650712809</v>
      </c>
      <c r="F4" s="87">
        <f>IF(F2&lt;=Dane!$C$15,Dane!$C$14*E6,0)</f>
        <v>13382.082758411905</v>
      </c>
      <c r="G4" s="87">
        <f>IF(G2&lt;=Dane!$C$15,Dane!$C$14*F6,0)</f>
        <v>13118.195290957463</v>
      </c>
      <c r="H4" s="87">
        <f>IF(H2&lt;=Dane!$C$15,Dane!$C$14*G6,0)</f>
        <v>12842.43288746757</v>
      </c>
      <c r="I4" s="87">
        <f>IF(I2&lt;=Dane!$C$15,Dane!$C$14*H6,0)</f>
        <v>12554.261175820633</v>
      </c>
      <c r="J4" s="87">
        <f>IF(J2&lt;=Dane!$C$15,Dane!$C$14*I6,0)</f>
        <v>12253.121737149582</v>
      </c>
      <c r="K4" s="87">
        <f>IF(K2&lt;=Dane!$C$15,Dane!$C$14*J6,0)</f>
        <v>11938.431023738332</v>
      </c>
      <c r="L4" s="87">
        <f>IF(L2&lt;=Dane!$C$15,Dane!$C$14*K6,0)</f>
        <v>11609.57922822358</v>
      </c>
      <c r="M4" s="87">
        <f>IF(M2&lt;=Dane!$C$15,Dane!$C$14*L6,0)</f>
        <v>11265.929101910662</v>
      </c>
      <c r="N4" s="87">
        <f>IF(N2&lt;=Dane!$C$15,Dane!$C$14*M6,0)</f>
        <v>10906.814719913662</v>
      </c>
      <c r="O4" s="87">
        <f>IF(O2&lt;=Dane!$C$15,Dane!$C$14*N6,0)</f>
        <v>10531.540190726799</v>
      </c>
      <c r="P4" s="87">
        <f>IF(P2&lt;=Dane!$C$15,Dane!$C$14*O6,0)</f>
        <v>10139.378307726525</v>
      </c>
      <c r="Q4" s="87">
        <f>IF(Q2&lt;=Dane!$C$15,Dane!$C$14*P6,0)</f>
        <v>9729.5691399912394</v>
      </c>
      <c r="R4" s="87">
        <f>IF(R2&lt;=Dane!$C$15,Dane!$C$14*Q6,0)</f>
        <v>9301.3185597078664</v>
      </c>
      <c r="S4" s="87">
        <f>IF(S2&lt;=Dane!$C$15,Dane!$C$14*R6,0)</f>
        <v>8853.796703311742</v>
      </c>
      <c r="T4" s="87">
        <f>IF(T2&lt;=Dane!$C$15,Dane!$C$14*S6,0)</f>
        <v>8386.136363377791</v>
      </c>
      <c r="U4" s="87">
        <f>IF(U2&lt;=Dane!$C$15,Dane!$C$14*T6,0)</f>
        <v>7897.4313081468126</v>
      </c>
      <c r="V4" s="87">
        <f>IF(V2&lt;=Dane!$C$15,Dane!$C$14*U6,0)</f>
        <v>7386.73452543044</v>
      </c>
      <c r="W4" s="87">
        <f>IF(W2&lt;=Dane!$C$15,Dane!$C$14*V6,0)</f>
        <v>6853.0563874918316</v>
      </c>
      <c r="X4" s="87">
        <f>IF(X2&lt;=Dane!$C$15,Dane!$C$14*W6,0)</f>
        <v>6295.3627333459854</v>
      </c>
      <c r="Y4" s="87">
        <f>IF(Y2&lt;=Dane!$C$15,Dane!$C$14*X6,0)</f>
        <v>5712.5728647635751</v>
      </c>
      <c r="Z4" s="87">
        <f>IF(Z2&lt;=Dane!$C$15,Dane!$C$14*Y6,0)</f>
        <v>5103.5574520949567</v>
      </c>
      <c r="AA4" s="87">
        <f>IF(AA2&lt;=Dane!$C$15,Dane!$C$14*Z6,0)</f>
        <v>4467.136345856251</v>
      </c>
      <c r="AB4" s="87">
        <f>IF(AB2&lt;=Dane!$C$15,Dane!$C$14*AA6,0)</f>
        <v>3802.076289836803</v>
      </c>
      <c r="AC4" s="87">
        <f>IF(AC2&lt;=Dane!$C$15,Dane!$C$14*AB6,0)</f>
        <v>3107.0885312964801</v>
      </c>
      <c r="AD4" s="87">
        <f>IF(AD2&lt;=Dane!$C$15,Dane!$C$14*AC6,0)</f>
        <v>2380.8263236218431</v>
      </c>
      <c r="AE4" s="87">
        <f>IF(AE2&lt;=Dane!$C$15,Dane!$C$14*AD6,0)</f>
        <v>1621.8823166018472</v>
      </c>
      <c r="AF4" s="87">
        <f>IF(AF2&lt;=Dane!$C$15,Dane!$C$14*AE6,0)</f>
        <v>828.78582926595129</v>
      </c>
      <c r="AG4" s="87">
        <f>IF(AG2&lt;=Dane!$C$15,Dane!$C$14*AF6,0)</f>
        <v>0</v>
      </c>
      <c r="AH4" s="87">
        <f>IF(AH2&lt;=Dane!$C$15,Dane!$C$14*AG6,0)</f>
        <v>0</v>
      </c>
      <c r="AI4" s="87">
        <f>IF(AI2&lt;=Dane!$C$15,Dane!$C$14*AH6,0)</f>
        <v>0</v>
      </c>
      <c r="AJ4" s="87">
        <f>IF(AJ2&lt;=Dane!$C$15,Dane!$C$14*AI6,0)</f>
        <v>0</v>
      </c>
      <c r="AK4" s="87">
        <f>IF(AK2&lt;=Dane!$C$15,Dane!$C$14*AJ6,0)</f>
        <v>0</v>
      </c>
      <c r="AL4" s="87">
        <f>IF(AL2&lt;=Dane!$C$15,Dane!$C$14*AK6,0)</f>
        <v>0</v>
      </c>
      <c r="AM4" s="87">
        <f>IF(AM2&lt;=Dane!$C$15,Dane!$C$14*AL6,0)</f>
        <v>0</v>
      </c>
      <c r="AN4" s="87">
        <f>IF(AN2&lt;=Dane!$C$15,Dane!$C$14*AM6,0)</f>
        <v>0</v>
      </c>
      <c r="AO4" s="87">
        <f>IF(AO2&lt;=Dane!$C$15,Dane!$C$14*AN6,0)</f>
        <v>0</v>
      </c>
      <c r="AP4" s="87">
        <f>IF(AP2&lt;=Dane!$C$15,Dane!$C$14*AO6,0)</f>
        <v>0</v>
      </c>
      <c r="AQ4" s="87">
        <f>IF(AQ2&lt;=Dane!$C$15,Dane!$C$14*AP6,0)</f>
        <v>0</v>
      </c>
      <c r="AR4" s="87">
        <f>IF(AR2&lt;=Dane!$C$15,Dane!$C$14*AQ6,0)</f>
        <v>0</v>
      </c>
      <c r="AS4" s="87">
        <f>IF(AS2&lt;=Dane!$C$15,Dane!$C$14*AR6,0)</f>
        <v>0</v>
      </c>
      <c r="AT4" s="87">
        <f>IF(AT2&lt;=Dane!$C$15,Dane!$C$14*AS6,0)</f>
        <v>0</v>
      </c>
      <c r="AU4" s="87">
        <f>IF(AU2&lt;=Dane!$C$15,Dane!$C$14*AT6,0)</f>
        <v>0</v>
      </c>
      <c r="AV4" s="87">
        <f>IF(AV2&lt;=Dane!$C$15,Dane!$C$14*AU6,0)</f>
        <v>0</v>
      </c>
      <c r="AW4" s="87">
        <f>IF(AW2&lt;=Dane!$C$15,Dane!$C$14*AV6,0)</f>
        <v>0</v>
      </c>
      <c r="AX4" s="87">
        <f>IF(AX2&lt;=Dane!$C$15,Dane!$C$14*AW6,0)</f>
        <v>0</v>
      </c>
      <c r="AY4" s="87">
        <f>IF(AY2&lt;=Dane!$C$15,Dane!$C$14*AX6,0)</f>
        <v>0</v>
      </c>
      <c r="AZ4" s="87">
        <f>IF(AZ2&lt;=Dane!$C$15,Dane!$C$14*AY6,0)</f>
        <v>0</v>
      </c>
      <c r="BA4" s="87">
        <f>IF(BA2&lt;=Dane!$C$15,Dane!$C$14*AZ6,0)</f>
        <v>0</v>
      </c>
      <c r="BB4" s="87">
        <f>IF(BB2&lt;=Dane!$C$15,Dane!$C$14*BA6,0)</f>
        <v>0</v>
      </c>
      <c r="BC4" s="87">
        <f>IF(BC2&lt;=Dane!$C$15,Dane!$C$14*BB6,0)</f>
        <v>0</v>
      </c>
      <c r="BD4" s="87">
        <f>IF(BD2&lt;=Dane!$C$15,Dane!$C$14*BC6,0)</f>
        <v>0</v>
      </c>
      <c r="BE4" s="87">
        <f>IF(BE2&lt;=Dane!$C$15,Dane!$C$14*BD6,0)</f>
        <v>0</v>
      </c>
      <c r="BF4" s="87">
        <f>IF(BF2&lt;=Dane!$C$15,Dane!$C$14*BE6,0)</f>
        <v>0</v>
      </c>
      <c r="BG4" s="87">
        <f>IF(BG2&lt;=Dane!$C$15,Dane!$C$14*BF6,0)</f>
        <v>0</v>
      </c>
      <c r="BH4" s="87">
        <f>IF(BH2&lt;=Dane!$C$15,Dane!$C$14*BG6,0)</f>
        <v>0</v>
      </c>
      <c r="BI4" s="87">
        <f>IF(BI2&lt;=Dane!$C$15,Dane!$C$14*BH6,0)</f>
        <v>0</v>
      </c>
      <c r="BJ4" s="87">
        <f>IF(BJ2&lt;=Dane!$C$15,Dane!$C$14*BI6,0)</f>
        <v>0</v>
      </c>
      <c r="BK4" s="87">
        <f>IF(BK2&lt;=Dane!$C$15,Dane!$C$14*BJ6,0)</f>
        <v>0</v>
      </c>
      <c r="BL4" s="87">
        <f>IF(BL2&lt;=Dane!$C$15,Dane!$C$14*BK6,0)</f>
        <v>0</v>
      </c>
      <c r="BM4" s="87">
        <f>IF(BM2&lt;=Dane!$C$15,Dane!$C$14*BL6,0)</f>
        <v>0</v>
      </c>
      <c r="BN4" s="87">
        <f>IF(BN2&lt;=Dane!$C$15,Dane!$C$14*BM6,0)</f>
        <v>0</v>
      </c>
      <c r="BO4" s="87">
        <f>IF(BO2&lt;=Dane!$C$15,Dane!$C$14*BN6,0)</f>
        <v>0</v>
      </c>
      <c r="BP4" s="87">
        <f>IF(BP2&lt;=Dane!$C$15,Dane!$C$14*BO6,0)</f>
        <v>0</v>
      </c>
      <c r="BQ4" s="87">
        <f>IF(BQ2&lt;=Dane!$C$15,Dane!$C$14*BP6,0)</f>
        <v>0</v>
      </c>
      <c r="BR4" s="87">
        <f>IF(BR2&lt;=Dane!$C$15,Dane!$C$14*BQ6,0)</f>
        <v>0</v>
      </c>
      <c r="BS4" s="87">
        <f>IF(BS2&lt;=Dane!$C$15,Dane!$C$14*BR6,0)</f>
        <v>0</v>
      </c>
      <c r="BT4" s="87">
        <f>IF(BT2&lt;=Dane!$C$15,Dane!$C$14*BS6,0)</f>
        <v>0</v>
      </c>
      <c r="BU4" s="87">
        <f>IF(BU2&lt;=Dane!$C$15,Dane!$C$14*BT6,0)</f>
        <v>0</v>
      </c>
      <c r="BV4" s="87">
        <f>IF(BV2&lt;=Dane!$C$15,Dane!$C$14*BU6,0)</f>
        <v>0</v>
      </c>
      <c r="BW4" s="87">
        <f>IF(BW2&lt;=Dane!$C$15,Dane!$C$14*BV6,0)</f>
        <v>0</v>
      </c>
      <c r="BX4" s="87">
        <f>IF(BX2&lt;=Dane!$C$15,Dane!$C$14*BW6,0)</f>
        <v>0</v>
      </c>
      <c r="BY4" s="87">
        <f>IF(BY2&lt;=Dane!$C$15,Dane!$C$14*BX6,0)</f>
        <v>0</v>
      </c>
      <c r="BZ4" s="87">
        <f>IF(BZ2&lt;=Dane!$C$15,Dane!$C$14*BY6,0)</f>
        <v>0</v>
      </c>
      <c r="CA4" s="87">
        <f>IF(CA2&lt;=Dane!$C$15,Dane!$C$14*BZ6,0)</f>
        <v>0</v>
      </c>
      <c r="CB4" s="87">
        <f>IF(CB2&lt;=Dane!$C$15,Dane!$C$14*CA6,0)</f>
        <v>0</v>
      </c>
      <c r="CC4" s="87">
        <f>IF(CC2&lt;=Dane!$C$15,Dane!$C$14*CB6,0)</f>
        <v>0</v>
      </c>
      <c r="CD4" s="87">
        <f>IF(CD2&lt;=Dane!$C$15,Dane!$C$14*CC6,0)</f>
        <v>0</v>
      </c>
      <c r="CE4" s="87">
        <f>IF(CE2&lt;=Dane!$C$15,Dane!$C$14*CD6,0)</f>
        <v>0</v>
      </c>
      <c r="CF4" s="87">
        <f>IF(CF2&lt;=Dane!$C$15,Dane!$C$14*CE6,0)</f>
        <v>0</v>
      </c>
      <c r="CG4" s="87">
        <f>IF(CG2&lt;=Dane!$C$15,Dane!$C$14*CF6,0)</f>
        <v>0</v>
      </c>
      <c r="CH4" s="87">
        <f>IF(CH2&lt;=Dane!$C$15,Dane!$C$14*CG6,0)</f>
        <v>0</v>
      </c>
      <c r="CI4" s="87">
        <f>IF(CI2&lt;=Dane!$C$15,Dane!$C$14*CH6,0)</f>
        <v>0</v>
      </c>
      <c r="CJ4" s="87">
        <f>IF(CJ2&lt;=Dane!$C$15,Dane!$C$14*CI6,0)</f>
        <v>0</v>
      </c>
      <c r="CK4" s="87">
        <f>IF(CK2&lt;=Dane!$C$15,Dane!$C$14*CJ6,0)</f>
        <v>0</v>
      </c>
      <c r="CL4" s="87">
        <f>IF(CL2&lt;=Dane!$C$15,Dane!$C$14*CK6,0)</f>
        <v>0</v>
      </c>
      <c r="CM4" s="87">
        <f>IF(CM2&lt;=Dane!$C$15,Dane!$C$14*CL6,0)</f>
        <v>0</v>
      </c>
      <c r="CN4" s="87">
        <f>IF(CN2&lt;=Dane!$C$15,Dane!$C$14*CM6,0)</f>
        <v>0</v>
      </c>
      <c r="CO4" s="87">
        <f>IF(CO2&lt;=Dane!$C$15,Dane!$C$14*CN6,0)</f>
        <v>0</v>
      </c>
      <c r="CP4" s="87">
        <f>IF(CP2&lt;=Dane!$C$15,Dane!$C$14*CO6,0)</f>
        <v>0</v>
      </c>
      <c r="CQ4" s="87">
        <f>IF(CQ2&lt;=Dane!$C$15,Dane!$C$14*CP6,0)</f>
        <v>0</v>
      </c>
      <c r="CR4" s="87">
        <f>IF(CR2&lt;=Dane!$C$15,Dane!$C$14*CQ6,0)</f>
        <v>0</v>
      </c>
      <c r="CS4" s="87">
        <f>IF(CS2&lt;=Dane!$C$15,Dane!$C$14*CR6,0)</f>
        <v>0</v>
      </c>
      <c r="CT4" s="87">
        <f>IF(CT2&lt;=Dane!$C$15,Dane!$C$14*CS6,0)</f>
        <v>0</v>
      </c>
      <c r="CU4" s="87">
        <f>IF(CU2&lt;=Dane!$C$15,Dane!$C$14*CT6,0)</f>
        <v>0</v>
      </c>
      <c r="CV4" s="87">
        <f>IF(CV2&lt;=Dane!$C$15,Dane!$C$14*CU6,0)</f>
        <v>0</v>
      </c>
      <c r="CW4" s="87">
        <f>IF(CW2&lt;=Dane!$C$15,Dane!$C$14*CV6,0)</f>
        <v>0</v>
      </c>
      <c r="CX4" s="87">
        <f>IF(CX2&lt;=Dane!$C$15,Dane!$C$14*CW6,0)</f>
        <v>0</v>
      </c>
    </row>
    <row r="5" spans="1:102">
      <c r="A5" s="86" t="s">
        <v>38</v>
      </c>
      <c r="B5" s="4"/>
      <c r="C5" s="87">
        <f>C3-C4</f>
        <v>5138.7487018439788</v>
      </c>
      <c r="D5" s="87">
        <f t="shared" ref="D5:AF5" si="0">D3-D4</f>
        <v>5369.9923934269573</v>
      </c>
      <c r="E5" s="87">
        <f t="shared" si="0"/>
        <v>5611.6420511311699</v>
      </c>
      <c r="F5" s="87">
        <f t="shared" si="0"/>
        <v>5864.1659434320736</v>
      </c>
      <c r="G5" s="87">
        <f t="shared" si="0"/>
        <v>6128.0534108865158</v>
      </c>
      <c r="H5" s="87">
        <f t="shared" si="0"/>
        <v>6403.8158143764085</v>
      </c>
      <c r="I5" s="87">
        <f t="shared" si="0"/>
        <v>6691.9875260233457</v>
      </c>
      <c r="J5" s="87">
        <f t="shared" si="0"/>
        <v>6993.1269646943965</v>
      </c>
      <c r="K5" s="87">
        <f t="shared" si="0"/>
        <v>7307.8176781056463</v>
      </c>
      <c r="L5" s="87">
        <f t="shared" si="0"/>
        <v>7636.669473620399</v>
      </c>
      <c r="M5" s="87">
        <f t="shared" si="0"/>
        <v>7980.3195999333166</v>
      </c>
      <c r="N5" s="87">
        <f t="shared" si="0"/>
        <v>8339.4339819303168</v>
      </c>
      <c r="O5" s="87">
        <f t="shared" si="0"/>
        <v>8714.70851111718</v>
      </c>
      <c r="P5" s="87">
        <f t="shared" si="0"/>
        <v>9106.8703941174535</v>
      </c>
      <c r="Q5" s="87">
        <f t="shared" si="0"/>
        <v>9516.6795618527394</v>
      </c>
      <c r="R5" s="87">
        <f t="shared" si="0"/>
        <v>9944.9301421361124</v>
      </c>
      <c r="S5" s="87">
        <f t="shared" si="0"/>
        <v>10392.451998532237</v>
      </c>
      <c r="T5" s="87">
        <f t="shared" si="0"/>
        <v>10860.112338466188</v>
      </c>
      <c r="U5" s="87">
        <f t="shared" si="0"/>
        <v>11348.817393697165</v>
      </c>
      <c r="V5" s="87">
        <f t="shared" si="0"/>
        <v>11859.514176413539</v>
      </c>
      <c r="W5" s="87">
        <f t="shared" si="0"/>
        <v>12393.192314352147</v>
      </c>
      <c r="X5" s="87">
        <f t="shared" si="0"/>
        <v>12950.885968497994</v>
      </c>
      <c r="Y5" s="87">
        <f t="shared" si="0"/>
        <v>13533.675837080404</v>
      </c>
      <c r="Z5" s="87">
        <f t="shared" si="0"/>
        <v>14142.691249749023</v>
      </c>
      <c r="AA5" s="87">
        <f t="shared" si="0"/>
        <v>14779.112355987727</v>
      </c>
      <c r="AB5" s="87">
        <f t="shared" si="0"/>
        <v>15444.172412007176</v>
      </c>
      <c r="AC5" s="87">
        <f t="shared" si="0"/>
        <v>16139.160170547499</v>
      </c>
      <c r="AD5" s="87">
        <f t="shared" si="0"/>
        <v>16865.422378222134</v>
      </c>
      <c r="AE5" s="87">
        <f t="shared" si="0"/>
        <v>17624.36638524213</v>
      </c>
      <c r="AF5" s="87">
        <f t="shared" si="0"/>
        <v>18417.462872578028</v>
      </c>
      <c r="AG5" s="87">
        <f t="shared" ref="AG5:AZ5" si="1">AG3-AG4</f>
        <v>0</v>
      </c>
      <c r="AH5" s="87">
        <f t="shared" si="1"/>
        <v>0</v>
      </c>
      <c r="AI5" s="87">
        <f t="shared" si="1"/>
        <v>0</v>
      </c>
      <c r="AJ5" s="87">
        <f t="shared" si="1"/>
        <v>0</v>
      </c>
      <c r="AK5" s="87">
        <f t="shared" si="1"/>
        <v>0</v>
      </c>
      <c r="AL5" s="87">
        <f t="shared" si="1"/>
        <v>0</v>
      </c>
      <c r="AM5" s="87">
        <f t="shared" si="1"/>
        <v>0</v>
      </c>
      <c r="AN5" s="87">
        <f t="shared" si="1"/>
        <v>0</v>
      </c>
      <c r="AO5" s="87">
        <f t="shared" si="1"/>
        <v>0</v>
      </c>
      <c r="AP5" s="87">
        <f t="shared" si="1"/>
        <v>0</v>
      </c>
      <c r="AQ5" s="87">
        <f t="shared" si="1"/>
        <v>0</v>
      </c>
      <c r="AR5" s="87">
        <f t="shared" si="1"/>
        <v>0</v>
      </c>
      <c r="AS5" s="87">
        <f t="shared" si="1"/>
        <v>0</v>
      </c>
      <c r="AT5" s="87">
        <f t="shared" si="1"/>
        <v>0</v>
      </c>
      <c r="AU5" s="87">
        <f t="shared" si="1"/>
        <v>0</v>
      </c>
      <c r="AV5" s="87">
        <f t="shared" si="1"/>
        <v>0</v>
      </c>
      <c r="AW5" s="87">
        <f t="shared" si="1"/>
        <v>0</v>
      </c>
      <c r="AX5" s="87">
        <f t="shared" si="1"/>
        <v>0</v>
      </c>
      <c r="AY5" s="87">
        <f t="shared" si="1"/>
        <v>0</v>
      </c>
      <c r="AZ5" s="87">
        <f t="shared" si="1"/>
        <v>0</v>
      </c>
      <c r="BA5" s="87">
        <f t="shared" ref="BA5:CX5" si="2">BA3-BA4</f>
        <v>0</v>
      </c>
      <c r="BB5" s="87">
        <f t="shared" si="2"/>
        <v>0</v>
      </c>
      <c r="BC5" s="87">
        <f t="shared" si="2"/>
        <v>0</v>
      </c>
      <c r="BD5" s="87">
        <f t="shared" si="2"/>
        <v>0</v>
      </c>
      <c r="BE5" s="87">
        <f t="shared" si="2"/>
        <v>0</v>
      </c>
      <c r="BF5" s="87">
        <f t="shared" si="2"/>
        <v>0</v>
      </c>
      <c r="BG5" s="87">
        <f t="shared" si="2"/>
        <v>0</v>
      </c>
      <c r="BH5" s="87">
        <f t="shared" si="2"/>
        <v>0</v>
      </c>
      <c r="BI5" s="87">
        <f t="shared" si="2"/>
        <v>0</v>
      </c>
      <c r="BJ5" s="87">
        <f t="shared" si="2"/>
        <v>0</v>
      </c>
      <c r="BK5" s="87">
        <f t="shared" si="2"/>
        <v>0</v>
      </c>
      <c r="BL5" s="87">
        <f t="shared" si="2"/>
        <v>0</v>
      </c>
      <c r="BM5" s="87">
        <f t="shared" si="2"/>
        <v>0</v>
      </c>
      <c r="BN5" s="87">
        <f t="shared" si="2"/>
        <v>0</v>
      </c>
      <c r="BO5" s="87">
        <f t="shared" si="2"/>
        <v>0</v>
      </c>
      <c r="BP5" s="87">
        <f t="shared" si="2"/>
        <v>0</v>
      </c>
      <c r="BQ5" s="87">
        <f t="shared" si="2"/>
        <v>0</v>
      </c>
      <c r="BR5" s="87">
        <f t="shared" si="2"/>
        <v>0</v>
      </c>
      <c r="BS5" s="87">
        <f t="shared" si="2"/>
        <v>0</v>
      </c>
      <c r="BT5" s="87">
        <f t="shared" si="2"/>
        <v>0</v>
      </c>
      <c r="BU5" s="87">
        <f t="shared" si="2"/>
        <v>0</v>
      </c>
      <c r="BV5" s="87">
        <f t="shared" si="2"/>
        <v>0</v>
      </c>
      <c r="BW5" s="87">
        <f t="shared" si="2"/>
        <v>0</v>
      </c>
      <c r="BX5" s="87">
        <f t="shared" si="2"/>
        <v>0</v>
      </c>
      <c r="BY5" s="87">
        <f t="shared" si="2"/>
        <v>0</v>
      </c>
      <c r="BZ5" s="87">
        <f t="shared" si="2"/>
        <v>0</v>
      </c>
      <c r="CA5" s="87">
        <f t="shared" si="2"/>
        <v>0</v>
      </c>
      <c r="CB5" s="87">
        <f t="shared" si="2"/>
        <v>0</v>
      </c>
      <c r="CC5" s="87">
        <f t="shared" si="2"/>
        <v>0</v>
      </c>
      <c r="CD5" s="87">
        <f t="shared" si="2"/>
        <v>0</v>
      </c>
      <c r="CE5" s="87">
        <f t="shared" si="2"/>
        <v>0</v>
      </c>
      <c r="CF5" s="87">
        <f t="shared" si="2"/>
        <v>0</v>
      </c>
      <c r="CG5" s="87">
        <f t="shared" si="2"/>
        <v>0</v>
      </c>
      <c r="CH5" s="87">
        <f t="shared" si="2"/>
        <v>0</v>
      </c>
      <c r="CI5" s="87">
        <f t="shared" si="2"/>
        <v>0</v>
      </c>
      <c r="CJ5" s="87">
        <f t="shared" si="2"/>
        <v>0</v>
      </c>
      <c r="CK5" s="87">
        <f t="shared" si="2"/>
        <v>0</v>
      </c>
      <c r="CL5" s="87">
        <f t="shared" si="2"/>
        <v>0</v>
      </c>
      <c r="CM5" s="87">
        <f t="shared" si="2"/>
        <v>0</v>
      </c>
      <c r="CN5" s="87">
        <f t="shared" si="2"/>
        <v>0</v>
      </c>
      <c r="CO5" s="87">
        <f t="shared" si="2"/>
        <v>0</v>
      </c>
      <c r="CP5" s="87">
        <f t="shared" si="2"/>
        <v>0</v>
      </c>
      <c r="CQ5" s="87">
        <f t="shared" si="2"/>
        <v>0</v>
      </c>
      <c r="CR5" s="87">
        <f t="shared" si="2"/>
        <v>0</v>
      </c>
      <c r="CS5" s="87">
        <f t="shared" si="2"/>
        <v>0</v>
      </c>
      <c r="CT5" s="87">
        <f t="shared" si="2"/>
        <v>0</v>
      </c>
      <c r="CU5" s="87">
        <f t="shared" si="2"/>
        <v>0</v>
      </c>
      <c r="CV5" s="87">
        <f t="shared" si="2"/>
        <v>0</v>
      </c>
      <c r="CW5" s="87">
        <f t="shared" si="2"/>
        <v>0</v>
      </c>
      <c r="CX5" s="87">
        <f t="shared" si="2"/>
        <v>0</v>
      </c>
    </row>
    <row r="6" spans="1:102">
      <c r="A6" s="86" t="s">
        <v>39</v>
      </c>
      <c r="B6" s="87">
        <f>Dane!C13</f>
        <v>313500</v>
      </c>
      <c r="C6" s="87">
        <f>IF(C2&lt;=Dane!$C$15,B6-C5,0)</f>
        <v>308361.25129815604</v>
      </c>
      <c r="D6" s="87">
        <f>IF(D2&lt;=Dane!$C$15,C6-D5,0)</f>
        <v>302991.2589047291</v>
      </c>
      <c r="E6" s="87">
        <f>IF(E2&lt;=Dane!$C$15,D6-E5,0)</f>
        <v>297379.61685359792</v>
      </c>
      <c r="F6" s="87">
        <f>IF(F2&lt;=Dane!$C$15,E6-F5,0)</f>
        <v>291515.45091016585</v>
      </c>
      <c r="G6" s="87">
        <f>IF(G2&lt;=Dane!$C$15,F6-G5,0)</f>
        <v>285387.39749927935</v>
      </c>
      <c r="H6" s="87">
        <f>IF(H2&lt;=Dane!$C$15,G6-H5,0)</f>
        <v>278983.58168490295</v>
      </c>
      <c r="I6" s="87">
        <f>IF(I2&lt;=Dane!$C$15,H6-I5,0)</f>
        <v>272291.5941588796</v>
      </c>
      <c r="J6" s="87">
        <f>IF(J2&lt;=Dane!$C$15,I6-J5,0)</f>
        <v>265298.46719418518</v>
      </c>
      <c r="K6" s="87">
        <f>IF(K2&lt;=Dane!$C$15,J6-K5,0)</f>
        <v>257990.64951607955</v>
      </c>
      <c r="L6" s="87">
        <f>IF(L2&lt;=Dane!$C$15,K6-L5,0)</f>
        <v>250353.98004245915</v>
      </c>
      <c r="M6" s="87">
        <f>IF(M2&lt;=Dane!$C$15,L6-M5,0)</f>
        <v>242373.66044252584</v>
      </c>
      <c r="N6" s="87">
        <f>IF(N2&lt;=Dane!$C$15,M6-N5,0)</f>
        <v>234034.22646059553</v>
      </c>
      <c r="O6" s="87">
        <f>IF(O2&lt;=Dane!$C$15,N6-O5,0)</f>
        <v>225319.51794947835</v>
      </c>
      <c r="P6" s="87">
        <f>IF(P2&lt;=Dane!$C$15,O6-P5,0)</f>
        <v>216212.64755536089</v>
      </c>
      <c r="Q6" s="87">
        <f>IF(Q2&lt;=Dane!$C$15,P6-Q5,0)</f>
        <v>206695.96799350815</v>
      </c>
      <c r="R6" s="87">
        <f>IF(R2&lt;=Dane!$C$15,Q6-R5,0)</f>
        <v>196751.03785137204</v>
      </c>
      <c r="S6" s="87">
        <f>IF(S2&lt;=Dane!$C$15,R6-S5,0)</f>
        <v>186358.58585283981</v>
      </c>
      <c r="T6" s="87">
        <f>IF(T2&lt;=Dane!$C$15,S6-T5,0)</f>
        <v>175498.47351437362</v>
      </c>
      <c r="U6" s="87">
        <f>IF(U2&lt;=Dane!$C$15,T6-U5,0)</f>
        <v>164149.65612067646</v>
      </c>
      <c r="V6" s="87">
        <f>IF(V2&lt;=Dane!$C$15,U6-V5,0)</f>
        <v>152290.14194426293</v>
      </c>
      <c r="W6" s="87">
        <f>IF(W2&lt;=Dane!$C$15,V6-W5,0)</f>
        <v>139896.94962991079</v>
      </c>
      <c r="X6" s="87">
        <f>IF(X2&lt;=Dane!$C$15,W6-X5,0)</f>
        <v>126946.06366141279</v>
      </c>
      <c r="Y6" s="87">
        <f>IF(Y2&lt;=Dane!$C$15,X6-Y5,0)</f>
        <v>113412.38782433239</v>
      </c>
      <c r="Z6" s="87">
        <f>IF(Z2&lt;=Dane!$C$15,Y6-Z5,0)</f>
        <v>99269.696574583359</v>
      </c>
      <c r="AA6" s="87">
        <f>IF(AA2&lt;=Dane!$C$15,Z6-AA5,0)</f>
        <v>84490.584218595628</v>
      </c>
      <c r="AB6" s="87">
        <f>IF(AB2&lt;=Dane!$C$15,AA6-AB5,0)</f>
        <v>69046.411806588454</v>
      </c>
      <c r="AC6" s="87">
        <f>IF(AC2&lt;=Dane!$C$15,AB6-AC5,0)</f>
        <v>52907.251636040957</v>
      </c>
      <c r="AD6" s="87">
        <f>IF(AD2&lt;=Dane!$C$15,AC6-AD5,0)</f>
        <v>36041.829257818827</v>
      </c>
      <c r="AE6" s="87">
        <f>IF(AE2&lt;=Dane!$C$15,AD6-AE5,0)</f>
        <v>18417.462872576696</v>
      </c>
      <c r="AF6" s="87">
        <f>IF(AF2&lt;=Dane!$C$15,AE6-AF5,0)</f>
        <v>-1.3315002433955669E-9</v>
      </c>
      <c r="AG6" s="87">
        <f>IF(AG2&lt;=Dane!$C$15,AF6-AG5,0)</f>
        <v>0</v>
      </c>
      <c r="AH6" s="87">
        <f>IF(AH2&lt;=Dane!$C$15,AG6-AH5,0)</f>
        <v>0</v>
      </c>
      <c r="AI6" s="87">
        <f>IF(AI2&lt;=Dane!$C$15,AH6-AI5,0)</f>
        <v>0</v>
      </c>
      <c r="AJ6" s="87">
        <f>IF(AJ2&lt;=Dane!$C$15,AI6-AJ5,0)</f>
        <v>0</v>
      </c>
      <c r="AK6" s="87">
        <f>IF(AK2&lt;=Dane!$C$15,AJ6-AK5,0)</f>
        <v>0</v>
      </c>
      <c r="AL6" s="87">
        <f>IF(AL2&lt;=Dane!$C$15,AK6-AL5,0)</f>
        <v>0</v>
      </c>
      <c r="AM6" s="87">
        <f>IF(AM2&lt;=Dane!$C$15,AL6-AM5,0)</f>
        <v>0</v>
      </c>
      <c r="AN6" s="87">
        <f>IF(AN2&lt;=Dane!$C$15,AM6-AN5,0)</f>
        <v>0</v>
      </c>
      <c r="AO6" s="87">
        <f>IF(AO2&lt;=Dane!$C$15,AN6-AO5,0)</f>
        <v>0</v>
      </c>
      <c r="AP6" s="87">
        <f>IF(AP2&lt;=Dane!$C$15,AO6-AP5,0)</f>
        <v>0</v>
      </c>
      <c r="AQ6" s="87">
        <f>IF(AQ2&lt;=Dane!$C$15,AP6-AQ5,0)</f>
        <v>0</v>
      </c>
      <c r="AR6" s="87">
        <f>IF(AR2&lt;=Dane!$C$15,AQ6-AR5,0)</f>
        <v>0</v>
      </c>
      <c r="AS6" s="87">
        <f>IF(AS2&lt;=Dane!$C$15,AR6-AS5,0)</f>
        <v>0</v>
      </c>
      <c r="AT6" s="87">
        <f>IF(AT2&lt;=Dane!$C$15,AS6-AT5,0)</f>
        <v>0</v>
      </c>
      <c r="AU6" s="87">
        <f>IF(AU2&lt;=Dane!$C$15,AT6-AU5,0)</f>
        <v>0</v>
      </c>
      <c r="AV6" s="87">
        <f>IF(AV2&lt;=Dane!$C$15,AU6-AV5,0)</f>
        <v>0</v>
      </c>
      <c r="AW6" s="87">
        <f>IF(AW2&lt;=Dane!$C$15,AV6-AW5,0)</f>
        <v>0</v>
      </c>
      <c r="AX6" s="87">
        <f>IF(AX2&lt;=Dane!$C$15,AW6-AX5,0)</f>
        <v>0</v>
      </c>
      <c r="AY6" s="87">
        <f>IF(AY2&lt;=Dane!$C$15,AX6-AY5,0)</f>
        <v>0</v>
      </c>
      <c r="AZ6" s="87">
        <f>IF(AZ2&lt;=Dane!$C$15,AY6-AZ5,0)</f>
        <v>0</v>
      </c>
      <c r="BA6" s="87">
        <f>IF(BA2&lt;=Dane!$C$15,AZ6-BA5,0)</f>
        <v>0</v>
      </c>
      <c r="BB6" s="87">
        <f>IF(BB2&lt;=Dane!$C$15,BA6-BB5,0)</f>
        <v>0</v>
      </c>
      <c r="BC6" s="87">
        <f>IF(BC2&lt;=Dane!$C$15,BB6-BC5,0)</f>
        <v>0</v>
      </c>
      <c r="BD6" s="87">
        <f>IF(BD2&lt;=Dane!$C$15,BC6-BD5,0)</f>
        <v>0</v>
      </c>
      <c r="BE6" s="87">
        <f>IF(BE2&lt;=Dane!$C$15,BD6-BE5,0)</f>
        <v>0</v>
      </c>
      <c r="BF6" s="87">
        <f>IF(BF2&lt;=Dane!$C$15,BE6-BF5,0)</f>
        <v>0</v>
      </c>
      <c r="BG6" s="87">
        <f>IF(BG2&lt;=Dane!$C$15,BF6-BG5,0)</f>
        <v>0</v>
      </c>
      <c r="BH6" s="87">
        <f>IF(BH2&lt;=Dane!$C$15,BG6-BH5,0)</f>
        <v>0</v>
      </c>
      <c r="BI6" s="87">
        <f>IF(BI2&lt;=Dane!$C$15,BH6-BI5,0)</f>
        <v>0</v>
      </c>
      <c r="BJ6" s="87">
        <f>IF(BJ2&lt;=Dane!$C$15,BI6-BJ5,0)</f>
        <v>0</v>
      </c>
      <c r="BK6" s="87">
        <f>IF(BK2&lt;=Dane!$C$15,BJ6-BK5,0)</f>
        <v>0</v>
      </c>
      <c r="BL6" s="87">
        <f>IF(BL2&lt;=Dane!$C$15,BK6-BL5,0)</f>
        <v>0</v>
      </c>
      <c r="BM6" s="87">
        <f>IF(BM2&lt;=Dane!$C$15,BL6-BM5,0)</f>
        <v>0</v>
      </c>
      <c r="BN6" s="87">
        <f>IF(BN2&lt;=Dane!$C$15,BM6-BN5,0)</f>
        <v>0</v>
      </c>
      <c r="BO6" s="87">
        <f>IF(BO2&lt;=Dane!$C$15,BN6-BO5,0)</f>
        <v>0</v>
      </c>
      <c r="BP6" s="87">
        <f>IF(BP2&lt;=Dane!$C$15,BO6-BP5,0)</f>
        <v>0</v>
      </c>
      <c r="BQ6" s="87">
        <f>IF(BQ2&lt;=Dane!$C$15,BP6-BQ5,0)</f>
        <v>0</v>
      </c>
      <c r="BR6" s="87">
        <f>IF(BR2&lt;=Dane!$C$15,BQ6-BR5,0)</f>
        <v>0</v>
      </c>
      <c r="BS6" s="87">
        <f>IF(BS2&lt;=Dane!$C$15,BR6-BS5,0)</f>
        <v>0</v>
      </c>
      <c r="BT6" s="87">
        <f>IF(BT2&lt;=Dane!$C$15,BS6-BT5,0)</f>
        <v>0</v>
      </c>
      <c r="BU6" s="87">
        <f>IF(BU2&lt;=Dane!$C$15,BT6-BU5,0)</f>
        <v>0</v>
      </c>
      <c r="BV6" s="87">
        <f>IF(BV2&lt;=Dane!$C$15,BU6-BV5,0)</f>
        <v>0</v>
      </c>
      <c r="BW6" s="87">
        <f>IF(BW2&lt;=Dane!$C$15,BV6-BW5,0)</f>
        <v>0</v>
      </c>
      <c r="BX6" s="87">
        <f>IF(BX2&lt;=Dane!$C$15,BW6-BX5,0)</f>
        <v>0</v>
      </c>
      <c r="BY6" s="87">
        <f>IF(BY2&lt;=Dane!$C$15,BX6-BY5,0)</f>
        <v>0</v>
      </c>
      <c r="BZ6" s="87">
        <f>IF(BZ2&lt;=Dane!$C$15,BY6-BZ5,0)</f>
        <v>0</v>
      </c>
      <c r="CA6" s="87">
        <f>IF(CA2&lt;=Dane!$C$15,BZ6-CA5,0)</f>
        <v>0</v>
      </c>
      <c r="CB6" s="87">
        <f>IF(CB2&lt;=Dane!$C$15,CA6-CB5,0)</f>
        <v>0</v>
      </c>
      <c r="CC6" s="87">
        <f>IF(CC2&lt;=Dane!$C$15,CB6-CC5,0)</f>
        <v>0</v>
      </c>
      <c r="CD6" s="87">
        <f>IF(CD2&lt;=Dane!$C$15,CC6-CD5,0)</f>
        <v>0</v>
      </c>
      <c r="CE6" s="87">
        <f>IF(CE2&lt;=Dane!$C$15,CD6-CE5,0)</f>
        <v>0</v>
      </c>
      <c r="CF6" s="87">
        <f>IF(CF2&lt;=Dane!$C$15,CE6-CF5,0)</f>
        <v>0</v>
      </c>
      <c r="CG6" s="87">
        <f>IF(CG2&lt;=Dane!$C$15,CF6-CG5,0)</f>
        <v>0</v>
      </c>
      <c r="CH6" s="87">
        <f>IF(CH2&lt;=Dane!$C$15,CG6-CH5,0)</f>
        <v>0</v>
      </c>
      <c r="CI6" s="87">
        <f>IF(CI2&lt;=Dane!$C$15,CH6-CI5,0)</f>
        <v>0</v>
      </c>
      <c r="CJ6" s="87">
        <f>IF(CJ2&lt;=Dane!$C$15,CI6-CJ5,0)</f>
        <v>0</v>
      </c>
      <c r="CK6" s="87">
        <f>IF(CK2&lt;=Dane!$C$15,CJ6-CK5,0)</f>
        <v>0</v>
      </c>
      <c r="CL6" s="87">
        <f>IF(CL2&lt;=Dane!$C$15,CK6-CL5,0)</f>
        <v>0</v>
      </c>
      <c r="CM6" s="87">
        <f>IF(CM2&lt;=Dane!$C$15,CL6-CM5,0)</f>
        <v>0</v>
      </c>
      <c r="CN6" s="87">
        <f>IF(CN2&lt;=Dane!$C$15,CM6-CN5,0)</f>
        <v>0</v>
      </c>
      <c r="CO6" s="87">
        <f>IF(CO2&lt;=Dane!$C$15,CN6-CO5,0)</f>
        <v>0</v>
      </c>
      <c r="CP6" s="87">
        <f>IF(CP2&lt;=Dane!$C$15,CO6-CP5,0)</f>
        <v>0</v>
      </c>
      <c r="CQ6" s="87">
        <f>IF(CQ2&lt;=Dane!$C$15,CP6-CQ5,0)</f>
        <v>0</v>
      </c>
      <c r="CR6" s="87">
        <f>IF(CR2&lt;=Dane!$C$15,CQ6-CR5,0)</f>
        <v>0</v>
      </c>
      <c r="CS6" s="87">
        <f>IF(CS2&lt;=Dane!$C$15,CR6-CS5,0)</f>
        <v>0</v>
      </c>
      <c r="CT6" s="87">
        <f>IF(CT2&lt;=Dane!$C$15,CS6-CT5,0)</f>
        <v>0</v>
      </c>
      <c r="CU6" s="87">
        <f>IF(CU2&lt;=Dane!$C$15,CT6-CU5,0)</f>
        <v>0</v>
      </c>
      <c r="CV6" s="87">
        <f>IF(CV2&lt;=Dane!$C$15,CU6-CV5,0)</f>
        <v>0</v>
      </c>
      <c r="CW6" s="87">
        <f>IF(CW2&lt;=Dane!$C$15,CV6-CW5,0)</f>
        <v>0</v>
      </c>
      <c r="CX6" s="87">
        <f>IF(CX2&lt;=Dane!$C$15,CW6-CX5,0)</f>
        <v>0</v>
      </c>
    </row>
    <row r="7" spans="1:102">
      <c r="C7" s="34"/>
      <c r="F7" s="34"/>
    </row>
    <row r="8" spans="1:102">
      <c r="F8" s="34"/>
    </row>
    <row r="9" spans="1:102">
      <c r="F9" s="34"/>
    </row>
    <row r="10" spans="1:102">
      <c r="F10" s="34"/>
    </row>
    <row r="11" spans="1:102">
      <c r="F11" s="34"/>
    </row>
    <row r="15" spans="1:102">
      <c r="A15" s="5"/>
      <c r="B15" s="5"/>
    </row>
    <row r="16" spans="1:102">
      <c r="A16" s="5"/>
      <c r="B16" s="5"/>
    </row>
    <row r="17" spans="1:2">
      <c r="A17" s="5"/>
      <c r="B17" s="5"/>
    </row>
    <row r="18" spans="1:2">
      <c r="A18" s="5"/>
      <c r="B18" s="5"/>
    </row>
    <row r="19" spans="1:2">
      <c r="A19" s="5"/>
      <c r="B19" s="5"/>
    </row>
    <row r="20" spans="1:2">
      <c r="A20" s="5"/>
      <c r="B20" s="5"/>
    </row>
    <row r="21" spans="1:2">
      <c r="A21" s="5"/>
      <c r="B21" s="5"/>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Dane</vt:lpstr>
      <vt:lpstr>10 lat</vt:lpstr>
      <vt:lpstr>20 lat</vt:lpstr>
      <vt:lpstr>30 lat</vt:lpstr>
      <vt:lpstr>Harmonogram_kredytu</vt:lpstr>
    </vt:vector>
  </TitlesOfParts>
  <Company>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Iwuc</dc:creator>
  <cp:lastModifiedBy>Marcin</cp:lastModifiedBy>
  <dcterms:created xsi:type="dcterms:W3CDTF">2014-01-20T14:17:43Z</dcterms:created>
  <dcterms:modified xsi:type="dcterms:W3CDTF">2014-01-22T22:02:23Z</dcterms:modified>
</cp:coreProperties>
</file>